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DqEEYx5iApU/haRw8P31DkSjRrZjyL/VAOlOgnx+K3SdKO8NQPOm9Bno/WSIMdkPXzol1IW8hD6uXf8xrNUVLw==" workbookSaltValue="7QY5PwN7TWDM+N8V8Zma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AU18" i="21"/>
  <c r="AH13" i="16"/>
  <c r="L16" i="2"/>
  <c r="AP13" i="16"/>
  <c r="T18" i="17"/>
  <c r="BG15" i="13"/>
  <c r="BE16" i="13"/>
  <c r="BE15" i="13"/>
  <c r="AX20" i="20"/>
  <c r="B18" i="7" l="1"/>
  <c r="S19" i="8"/>
  <c r="BG10" i="8"/>
  <c r="C13" i="7"/>
  <c r="BF9" i="8"/>
  <c r="BH16" i="11"/>
  <c r="BH10" i="11"/>
  <c r="BW11" i="20"/>
  <c r="AP17" i="20"/>
  <c r="BI15" i="11"/>
  <c r="BL17" i="11"/>
  <c r="AZ18" i="13"/>
  <c r="BB18" i="13"/>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H20" i="20"/>
  <c r="Q20" i="20"/>
  <c r="Z20" i="20"/>
  <c r="J18" i="2" l="1"/>
  <c r="I11" i="12"/>
  <c r="BJ18" i="11"/>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M20" i="11"/>
  <c r="I20" i="17"/>
  <c r="N20" i="17"/>
  <c r="AR20" i="16"/>
  <c r="N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L20" i="21"/>
  <c r="AA20" i="11"/>
  <c r="K20" i="12"/>
  <c r="AR20" i="17"/>
  <c r="BQ20" i="16"/>
  <c r="E20" i="12"/>
  <c r="AA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<sst xmlns="http://schemas.openxmlformats.org/spreadsheetml/2006/main" count="2088" uniqueCount="918">
  <si>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</si>
  <si>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</si>
  <si>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</si>
  <si>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</si>
  <si>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</si>
  <si>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</si>
  <si>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</si>
  <si>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</si>
  <si>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</si>
  <si>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</si>
  <si>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</si>
  <si>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</si>
  <si>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</si>
  <si>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</si>
  <si>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</si>
  <si>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</si>
  <si>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</si>
  <si>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</si>
  <si>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</si>
  <si>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</si>
  <si>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</si>
  <si>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</si>
  <si>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</si>
  <si>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</si>
  <si>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</si>
  <si>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</si>
  <si>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</si>
  <si>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</si>
  <si>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</si>
  <si>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</si>
  <si>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</si>
  <si>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</si>
  <si>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</si>
  <si>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</si>
  <si>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</si>
  <si>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</si>
  <si>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</si>
  <si>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</si>
  <si>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</si>
  <si>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</si>
  <si>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</si>
  <si>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</si>
  <si>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</si>
  <si>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</si>
  <si>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</si>
  <si>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</si>
  <si>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</si>
  <si>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</si>
  <si>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</si>
  <si>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</si>
  <si>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</si>
  <si>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</si>
  <si>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</si>
  <si>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</si>
  <si>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</si>
  <si>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</si>
  <si>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</si>
  <si>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</si>
  <si>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</si>
  <si>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</si>
  <si>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</si>
  <si>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</si>
  <si>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</si>
  <si>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</si>
  <si>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</si>
  <si>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</si>
  <si>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</si>
  <si>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</si>
  <si>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</si>
  <si>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</si>
  <si>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</si>
  <si>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</si>
  <si>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</si>
  <si>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</si>
  <si>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</si>
  <si>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</si>
  <si>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</si>
  <si>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</si>
  <si>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</si>
  <si>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</si>
  <si>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</si>
  <si>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</si>
  <si>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</si>
  <si>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</si>
  <si>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</si>
  <si>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</si>
  <si>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</si>
  <si>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</si>
  <si>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</si>
  <si>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</si>
  <si>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</si>
  <si>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</si>
  <si>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</si>
  <si>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</si>
  <si>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</si>
  <si>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</si>
  <si>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</si>
  <si>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</si>
  <si>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</si>
  <si>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</si>
  <si>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</si>
  <si>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</si>
  <si>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</si>
  <si>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</si>
  <si>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</si>
  <si>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</si>
  <si>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</si>
  <si>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</si>
  <si>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</si>
  <si>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</si>
  <si>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</si>
  <si>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</si>
  <si>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</si>
  <si>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</si>
  <si>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</si>
  <si>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</si>
  <si>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</si>
  <si>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</si>
  <si>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</si>
  <si>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</si>
  <si>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</si>
  <si>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</si>
  <si>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</si>
  <si>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</si>
  <si>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</si>
  <si>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</si>
  <si>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</si>
  <si>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</si>
  <si>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</si>
  <si>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</si>
  <si>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</si>
  <si>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</si>
  <si>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</si>
  <si>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</si>
  <si>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</si>
  <si>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</si>
  <si>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</si>
  <si>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</si>
  <si>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</si>
  <si>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</si>
  <si>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</si>
  <si>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</si>
  <si>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</si>
  <si>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</si>
  <si>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</si>
  <si>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</si>
  <si>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</si>
  <si>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</si>
  <si>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</si>
  <si>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</si>
  <si>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</si>
  <si>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</si>
  <si>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</si>
  <si>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</si>
  <si>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</si>
  <si>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</si>
  <si>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</si>
  <si>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</si>
  <si>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</si>
  <si>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</si>
  <si>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</si>
  <si>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</si>
  <si>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</si>
  <si>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</si>
  <si>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</si>
  <si>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</si>
  <si>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</si>
  <si>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</si>
  <si>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</si>
  <si>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</si>
  <si>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</si>
  <si>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</si>
  <si>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</si>
  <si>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</si>
  <si>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</si>
  <si>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</si>
  <si>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</si>
  <si>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</si>
  <si>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</si>
  <si>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</si>
  <si>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</si>
  <si>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</si>
  <si>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</si>
  <si>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</si>
  <si>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</si>
  <si>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</si>
  <si>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</si>
  <si>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</si>
  <si>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</si>
  <si>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</si>
  <si>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</si>
  <si>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</si>
  <si>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</si>
  <si>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</si>
  <si>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</si>
  <si>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</si>
  <si>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</si>
  <si>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</si>
  <si>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</si>
  <si>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</si>
  <si>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</si>
  <si>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</si>
  <si>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</si>
  <si>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</si>
  <si>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</si>
  <si>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</si>
  <si>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</si>
  <si>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</si>
  <si>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</si>
  <si>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</si>
  <si>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</si>
  <si>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</si>
  <si>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</si>
  <si>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</si>
  <si>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</si>
  <si>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</si>
  <si>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</si>
  <si>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</si>
  <si>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</si>
  <si>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</si>
  <si>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</si>
  <si>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</si>
  <si>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</si>
  <si>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</si>
  <si>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</si>
  <si>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</si>
  <si>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</si>
  <si>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</si>
  <si>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</si>
  <si>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</si>
  <si>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</si>
  <si>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</si>
  <si>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</si>
  <si>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</si>
  <si>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</si>
  <si>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</si>
  <si>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</si>
  <si>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</si>
  <si>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</si>
  <si>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</si>
  <si>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</si>
  <si>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</si>
  <si>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</si>
  <si>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</si>
  <si>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</si>
  <si>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</si>
  <si>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</si>
  <si>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</si>
  <si>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</si>
  <si>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</si>
  <si>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</si>
  <si>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</si>
  <si>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</si>
  <si>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</si>
  <si>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</si>
  <si>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</si>
  <si>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</si>
  <si>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</si>
  <si>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</si>
  <si>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</si>
  <si>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</si>
  <si>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</si>
  <si>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</si>
  <si>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</si>
  <si>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</si>
  <si>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</si>
  <si>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</si>
  <si>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</si>
  <si>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</si>
  <si>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</si>
  <si>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</si>
  <si>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</si>
  <si>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</si>
  <si>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</si>
  <si>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</si>
  <si>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</si>
  <si>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</si>
  <si>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</si>
  <si>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</si>
  <si>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</si>
  <si>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</si>
  <si>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</si>
  <si>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</si>
  <si>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</si>
  <si>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</si>
  <si>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</si>
  <si>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</si>
  <si>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</si>
  <si>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</si>
  <si>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</si>
  <si>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</si>
  <si>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</si>
  <si>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</si>
  <si>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</si>
  <si>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</si>
  <si>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</si>
  <si>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</si>
  <si>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</si>
  <si>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</si>
  <si>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</si>
  <si>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</si>
  <si>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</si>
  <si>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</si>
  <si>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</si>
  <si>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</si>
  <si>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</si>
  <si>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</si>
  <si>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</si>
  <si>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</si>
  <si>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</si>
  <si>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</si>
  <si>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</si>
  <si>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</si>
  <si>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</si>
  <si>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</si>
  <si>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</si>
  <si>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</si>
  <si>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</si>
  <si>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</si>
  <si>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</si>
  <si>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</si>
  <si>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</si>
  <si>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</si>
  <si>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</si>
  <si>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</si>
  <si>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</si>
  <si>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</si>
  <si>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</si>
  <si>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</si>
  <si>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</si>
  <si>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</si>
  <si>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</si>
  <si>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</si>
  <si>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</si>
  <si>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</si>
  <si>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</si>
  <si>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</si>
  <si>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</si>
  <si>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</si>
  <si>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</si>
  <si>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</si>
  <si>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</si>
  <si>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</si>
  <si>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</si>
  <si>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</si>
  <si>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</si>
  <si>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</si>
  <si>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</si>
  <si>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</si>
  <si>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</si>
  <si>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</si>
  <si>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</si>
  <si>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</si>
  <si>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</si>
  <si>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</si>
  <si>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</si>
  <si>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</si>
  <si>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</si>
  <si>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</si>
  <si>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</si>
  <si>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</si>
  <si>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</si>
  <si>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</si>
  <si>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</si>
  <si>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</si>
  <si>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</si>
  <si>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</si>
  <si>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</si>
  <si>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</si>
  <si>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</si>
  <si>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</si>
  <si>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</si>
  <si>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</si>
  <si>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</si>
  <si>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</si>
  <si>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</si>
  <si>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</si>
  <si>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</si>
  <si>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</si>
  <si>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</si>
  <si>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</si>
  <si>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</si>
  <si>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</si>
  <si>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</si>
  <si>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</si>
  <si>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</si>
  <si>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</si>
  <si>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</si>
  <si>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</si>
  <si>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</si>
  <si>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</si>
  <si>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</si>
  <si>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</si>
  <si>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</si>
  <si>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</si>
  <si>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</si>
  <si>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</si>
  <si>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</si>
  <si>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</si>
  <si>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</si>
  <si>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</si>
  <si>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</si>
  <si>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</si>
  <si>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</si>
  <si>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</si>
  <si>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</si>
  <si>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</si>
  <si>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</si>
  <si>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</si>
  <si>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</si>
  <si>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</si>
  <si>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</si>
  <si>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</si>
  <si>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</si>
  <si>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</si>
  <si>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</si>
  <si>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</si>
  <si>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</si>
  <si>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</si>
  <si>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</si>
  <si>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</si>
  <si>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</si>
  <si>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</si>
  <si>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</si>
  <si>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</si>
  <si>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</si>
  <si>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</si>
  <si>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</si>
  <si>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</si>
  <si>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</si>
  <si>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</si>
  <si>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</si>
  <si>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</si>
  <si>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</si>
  <si>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</si>
  <si>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</si>
  <si>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</si>
  <si>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</si>
  <si>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</si>
  <si>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</si>
  <si>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</si>
  <si>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</si>
  <si>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</si>
  <si>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</si>
  <si>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</si>
  <si>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</si>
  <si>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</si>
  <si>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</si>
  <si>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</si>
  <si>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</si>
  <si>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</si>
  <si>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</si>
  <si>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</si>
  <si>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</si>
  <si>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</si>
  <si>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</si>
  <si>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</si>
  <si>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</si>
  <si>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</si>
  <si>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</si>
  <si>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</si>
  <si>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</si>
  <si>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</si>
  <si>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</si>
  <si>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</si>
  <si>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</si>
  <si>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</si>
  <si>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</si>
  <si>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</si>
  <si>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</si>
  <si>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</si>
  <si>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</si>
  <si>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</si>
  <si>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</si>
  <si>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</si>
  <si>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</si>
  <si>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</si>
  <si>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</si>
  <si>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</si>
  <si>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</si>
  <si>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</si>
  <si>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</si>
  <si>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</si>
  <si>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</si>
  <si>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</si>
  <si>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</si>
  <si>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</si>
  <si>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</si>
  <si>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</si>
  <si>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</si>
  <si>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</si>
  <si>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</si>
  <si>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</si>
  <si>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</si>
  <si>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</si>
  <si>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</si>
  <si>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</si>
  <si>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</si>
  <si>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</si>
  <si>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</si>
  <si>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</si>
  <si>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</si>
  <si>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</si>
  <si>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</si>
  <si>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</si>
  <si>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</si>
  <si>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</si>
  <si>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</si>
  <si>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</si>
  <si>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</si>
  <si>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</si>
  <si>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</si>
  <si>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</si>
  <si>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</si>
  <si>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</si>
  <si>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</si>
  <si>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</si>
  <si>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</si>
  <si>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</si>
  <si>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</si>
  <si>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</si>
  <si>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</si>
  <si>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</si>
  <si>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</si>
  <si>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</si>
  <si>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</si>
  <si>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</si>
  <si>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</si>
  <si>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</si>
  <si>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</si>
  <si>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</si>
  <si>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</si>
  <si>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</si>
  <si>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</si>
  <si>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</si>
  <si>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</si>
  <si>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</si>
  <si>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</si>
  <si>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</si>
  <si>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</si>
  <si>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</si>
  <si>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</si>
  <si>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</si>
  <si>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</si>
  <si>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</si>
  <si>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</si>
  <si>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</si>
  <si>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</si>
  <si>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</si>
  <si>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</si>
  <si>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</si>
  <si>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</si>
  <si>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</si>
  <si>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</si>
  <si>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</si>
  <si>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</si>
  <si>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</si>
  <si>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</si>
  <si>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</si>
  <si>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</si>
  <si>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</si>
  <si>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</si>
  <si>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</si>
  <si>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</si>
  <si>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</si>
  <si>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</si>
  <si>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</si>
  <si>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</si>
  <si>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</si>
  <si>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</si>
  <si>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</si>
  <si>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</si>
  <si>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</si>
  <si>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</si>
  <si>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</si>
  <si>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</si>
  <si>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</si>
  <si>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</si>
  <si>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</si>
  <si>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</si>
  <si>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</si>
  <si>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</si>
  <si>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</si>
  <si>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</si>
  <si>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</si>
  <si>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</si>
  <si>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</si>
  <si>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</si>
  <si>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</si>
  <si>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</si>
  <si>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</si>
  <si>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</si>
  <si>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</si>
  <si>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</si>
  <si>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</si>
  <si>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</si>
  <si>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</si>
  <si>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</si>
  <si>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</si>
  <si>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</si>
  <si>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</si>
  <si>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</si>
  <si>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</si>
  <si>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</si>
  <si>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</si>
  <si>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</si>
  <si>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</si>
  <si>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</si>
  <si>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</si>
  <si>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</si>
  <si>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</si>
  <si>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</si>
  <si>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</si>
  <si>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</si>
  <si>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</si>
  <si>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</si>
  <si>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</si>
  <si>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</si>
  <si>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</si>
  <si>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</si>
  <si>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</si>
  <si>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</si>
  <si>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</si>
  <si>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</si>
  <si>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</si>
  <si>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</si>
  <si>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</si>
  <si>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</si>
  <si>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</si>
  <si>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</si>
  <si>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</si>
  <si>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</si>
  <si>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</si>
  <si>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</si>
  <si>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</si>
  <si>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</si>
  <si>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</si>
  <si>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</si>
  <si>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</si>
  <si>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</si>
  <si>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</si>
  <si>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</si>
  <si>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</si>
  <si>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</si>
  <si>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</si>
  <si>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</si>
  <si>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</si>
  <si>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</si>
  <si>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</si>
  <si>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</si>
  <si>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</si>
  <si>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</si>
  <si>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</si>
  <si>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</si>
  <si>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</si>
  <si>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</si>
  <si>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</si>
  <si>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</si>
  <si>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</si>
  <si>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</si>
  <si>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</si>
  <si>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</si>
  <si>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</si>
  <si>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</si>
  <si>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</si>
  <si>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</si>
  <si>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</si>
  <si>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</si>
  <si>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</si>
  <si>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</si>
  <si>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</si>
  <si>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</si>
  <si>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</si>
  <si>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</si>
  <si>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</si>
  <si>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</si>
  <si>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</si>
  <si>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</si>
  <si>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</si>
  <si>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</si>
  <si>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</si>
  <si>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</si>
  <si>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</si>
  <si>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</si>
  <si>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</si>
  <si>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</si>
  <si>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</si>
  <si>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</si>
  <si>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</si>
  <si>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</si>
  <si>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</si>
  <si>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</si>
  <si>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</si>
  <si>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</si>
  <si>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</si>
  <si>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</si>
  <si>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</si>
  <si>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</si>
  <si>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</si>
  <si>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</si>
  <si>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</si>
  <si>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</si>
  <si>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</si>
  <si>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</si>
  <si>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</si>
  <si>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</si>
  <si>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</si>
  <si>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</si>
  <si>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</si>
  <si>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</si>
  <si>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</si>
  <si>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</si>
  <si>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</si>
  <si>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</si>
  <si>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</si>
  <si>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</si>
  <si>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</si>
  <si>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</si>
  <si>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</si>
  <si>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</si>
  <si>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</si>
  <si>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</si>
  <si>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</si>
  <si>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</si>
  <si>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</si>
  <si>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</si>
  <si>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</si>
  <si>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</si>
  <si>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</si>
  <si>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</si>
  <si>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</si>
  <si>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</si>
  <si>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</si>
  <si>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</si>
  <si>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</si>
  <si>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</si>
  <si>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</si>
  <si>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</si>
  <si>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</si>
  <si>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</si>
  <si>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</si>
  <si>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</si>
  <si>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</si>
  <si>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</si>
  <si>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</si>
  <si>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</si>
  <si>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</si>
  <si>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</si>
  <si>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</si>
  <si>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</si>
  <si>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</si>
  <si>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</si>
  <si>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</si>
  <si>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</si>
  <si>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</si>
  <si>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</si>
  <si>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</si>
  <si>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</si>
  <si>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</si>
  <si>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</si>
  <si>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</si>
  <si>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</si>
  <si>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</si>
  <si>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</si>
  <si>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</si>
  <si>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</si>
  <si>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</si>
  <si>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</si>
  <si>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</si>
  <si>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</si>
  <si>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</si>
  <si>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</si>
  <si>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</si>
  <si>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</si>
  <si>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</si>
  <si>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</si>
  <si>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</si>
  <si>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</si>
  <si>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</si>
  <si>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</si>
  <si>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</si>
  <si>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</si>
  <si>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</si>
  <si>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</si>
  <si>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</si>
  <si>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</si>
  <si>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</si>
  <si>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</si>
  <si>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</si>
  <si>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</si>
  <si>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</si>
  <si>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</si>
  <si>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</si>
  <si>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</si>
  <si>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</si>
  <si>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</si>
  <si>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</si>
  <si>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</si>
  <si>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</si>
  <si>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</si>
  <si>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</si>
  <si>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</si>
  <si>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</si>
  <si>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</si>
  <si>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</si>
  <si>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</si>
  <si>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</si>
  <si>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</si>
  <si>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</si>
  <si>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</si>
  <si>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</si>
  <si>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</si>
  <si>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</si>
  <si>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</si>
  <si>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</si>
  <si>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</si>
  <si>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</si>
  <si>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</si>
  <si>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</si>
  <si>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</si>
  <si>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</si>
  <si>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</si>
  <si>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</si>
  <si>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</si>
  <si>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</si>
  <si>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</si>
  <si>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</si>
  <si>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</si>
  <si>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</si>
  <si>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</si>
  <si>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</si>
  <si>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</si>
  <si>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</si>
  <si>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</si>
  <si>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</si>
  <si>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</si>
  <si>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</si>
  <si>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</si>
  <si>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</si>
  <si>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</si>
  <si>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</si>
  <si>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</si>
  <si>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</si>
  <si>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</si>
  <si>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</si>
  <si>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</si>
  <si>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</si>
  <si>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</si>
  <si>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</si>
  <si>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</si>
  <si>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</si>
  <si>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</si>
  <si>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</si>
  <si>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</si>
  <si>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</si>
  <si>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</si>
  <si>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</si>
  <si>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</si>
  <si>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</si>
  <si>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</si>
  <si>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</si>
  <si>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</si>
  <si>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</si>
  <si>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</si>
  <si>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</si>
  <si>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</si>
  <si>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</si>
  <si>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</si>
  <si>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</si>
  <si>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</si>
  <si>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</si>
  <si>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</si>
  <si>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</si>
  <si>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</si>
  <si>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</si>
  <si>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</si>
  <si>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</si>
  <si>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</si>
  <si>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</si>
  <si>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</si>
  <si>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</si>
  <si>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</si>
  <si>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</si>
  <si>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</si>
  <si>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</si>
  <si>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</si>
  <si>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</si>
  <si>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</si>
  <si>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</si>
  <si>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</si>
  <si>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</si>
  <si>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</si>
  <si>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</si>
  <si>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</si>
  <si>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</si>
  <si>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</si>
  <si>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</si>
  <si>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</si>
  <si>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</si>
  <si>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</si>
  <si>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</si>
  <si>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</si>
  <si>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</si>
  <si>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</si>
  <si>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</si>
  <si>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</si>
  <si>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</si>
  <si>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</si>
  <si>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</si>
  <si>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</si>
  <si>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</si>
  <si>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</si>
  <si>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</si>
  <si>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ISLAS BALEARES</t>
  </si>
  <si>
    <t>Provincias</t>
  </si>
  <si>
    <t>ILLES BALEARS</t>
  </si>
  <si>
    <t>Resumenes por Partidos Judiciales</t>
  </si>
  <si>
    <t>EIVISSA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</si>
</sst>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zq+5fHaxJoNQZ2+Bw7geHgXwKlzR6NG2tCQTZXspCRvJw681wJLXRdyS047/RKnpCbUNRuc5yUwm8hGwFNofw==" saltValue="gCAfTDgNWGSBVrgqXFqJ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34.209395302348824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114</v>
      </c>
      <c r="D10" s="225">
        <f>IF(ISNUMBER(Datos!I10),Datos!I10," - ")</f>
        <v>114</v>
      </c>
      <c r="E10" s="226">
        <f>IF(ISNUMBER(Datos!J10),Datos!J10," - ")</f>
        <v>36</v>
      </c>
      <c r="F10" s="226">
        <f>IF(ISNUMBER(Datos!K10),Datos!K10," - ")</f>
        <v>29</v>
      </c>
      <c r="G10" s="1034" t="str">
        <f>IF(Datos!E10&lt;&gt;"",Datos!E10,Datos!D10)</f>
        <v>37</v>
      </c>
      <c r="H10" s="227">
        <f>IF(ISNUMBER(Datos!L10),Datos!L10," - ")</f>
        <v>121</v>
      </c>
      <c r="I10" s="1044" t="str">
        <f>IF(ISNUMBER(Datos!AS10/Datos!BM10),Datos!AS10/Datos!BM10," - ")</f>
        <v xml:space="preserve"> - </v>
      </c>
      <c r="J10" s="1045">
        <f>IF(ISNUMBER(Datos!BY10/Datos!CN10),Datos!BY10/Datos!CN10," - ")</f>
        <v>0</v>
      </c>
      <c r="K10" s="230">
        <f t="shared" ref="K10:K12" si="1">IF(ISNUMBER((E10-F10)/C10),(E10-F10)/C10," - ")</f>
        <v>6.1403508771929821E-2</v>
      </c>
      <c r="L10" s="1025">
        <f>IF(ISNUMBER(NºAsuntos!I10/NºAsuntos!G10),(NºAsuntos!I10/NºAsuntos!G10)*11," - ")</f>
        <v>45.896551724137936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13.982222222222221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114</v>
      </c>
      <c r="D13" s="1049">
        <f>SUBTOTAL(9,D9:D12)</f>
        <v>114</v>
      </c>
      <c r="E13" s="1050">
        <f>SUBTOTAL(9,E9:E12)</f>
        <v>36</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4811</v>
      </c>
      <c r="D15" s="225">
        <f>IF(ISNUMBER(IF(D_I="SI",Datos!I15,Datos!I15+Datos!AC15)),IF(D_I="SI",Datos!I15,Datos!I15+Datos!AC15)," - ")</f>
        <v>4774</v>
      </c>
      <c r="E15" s="226">
        <f>IF(ISNUMBER(IF(D_I="SI",Datos!J15,Datos!J15+Datos!AD15)),IF(D_I="SI",Datos!J15,Datos!J15+Datos!AD15)," - ")</f>
        <v>3917</v>
      </c>
      <c r="F15" s="226">
        <f>IF(ISNUMBER(IF(D_I="SI",Datos!K15,Datos!K15+Datos!AE15)),IF(D_I="SI",Datos!K15,Datos!K15+Datos!AE15)," - ")</f>
        <v>3801</v>
      </c>
      <c r="G15" s="1034" t="str">
        <f>IF(Datos!E15&lt;&gt;"",Datos!E15,Datos!D15)</f>
        <v>03</v>
      </c>
      <c r="H15" s="227">
        <f>IF(ISNUMBER(IF(D_I="SI",Datos!L15,Datos!L15+Datos!AF15)),IF(D_I="SI",Datos!L15,Datos!L15+Datos!AF15)," - ")</f>
        <v>4927</v>
      </c>
      <c r="I15" s="1044" t="str">
        <f>IF(ISNUMBER(Datos!AS15/Datos!BM15),Datos!AS15/Datos!BM15," - ")</f>
        <v xml:space="preserve"> - </v>
      </c>
      <c r="J15" s="1045">
        <f>IF(ISNUMBER(Datos!BY15/Datos!CN15),Datos!BY15/Datos!CN15," - ")</f>
        <v>0</v>
      </c>
      <c r="K15" s="230">
        <f t="shared" ref="K15:K17" si="3">IF(ISNUMBER((E15-F15)/C15),(E15-F15)/C15," - ")</f>
        <v>2.4111411348991894E-2</v>
      </c>
      <c r="L15" s="1025">
        <f>IF(ISNUMBER(NºAsuntos!I15/NºAsuntos!G15),(NºAsuntos!I15/NºAsuntos!G15)*11," - ")</f>
        <v>14.258616153643779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248</v>
      </c>
      <c r="D17" s="225">
        <f>IF(ISNUMBER(IF(D_I="SI",Datos!I17,Datos!I17+Datos!AC17)),IF(D_I="SI",Datos!I17,Datos!I17+Datos!AC17)," - ")</f>
        <v>248</v>
      </c>
      <c r="E17" s="226">
        <f>IF(ISNUMBER(IF(D_I="SI",Datos!J17,Datos!J17+Datos!AD17)),IF(D_I="SI",Datos!J17,Datos!J17+Datos!AD17)," - ")</f>
        <v>445</v>
      </c>
      <c r="F17" s="226">
        <f>IF(ISNUMBER(IF(D_I="SI",Datos!K17,Datos!K17+Datos!AE17)),IF(D_I="SI",Datos!K17,Datos!K17+Datos!AE17)," - ")</f>
        <v>399</v>
      </c>
      <c r="G17" s="1034" t="str">
        <f>IF(Datos!E17&lt;&gt;"",Datos!E17,Datos!D17)</f>
        <v>37</v>
      </c>
      <c r="H17" s="227">
        <f>IF(ISNUMBER(IF(D_I="SI",Datos!L17,Datos!L17+Datos!AF17)),IF(D_I="SI",Datos!L17,Datos!L17+Datos!AF17)," - ")</f>
        <v>294</v>
      </c>
      <c r="I17" s="1044" t="str">
        <f>IF(ISNUMBER(Datos!AS17/Datos!BM17),Datos!AS17/Datos!BM17," - ")</f>
        <v xml:space="preserve"> - </v>
      </c>
      <c r="J17" s="1045" t="str">
        <f>IF(ISNUMBER((Datos!BY17+Datos!BZ17)/Datos!CN17),(Datos!BY17+Datos!BZ17)/Datos!CN17," - ")</f>
        <v xml:space="preserve"> - </v>
      </c>
      <c r="K17" s="230">
        <f t="shared" si="3"/>
        <v>0.18548387096774194</v>
      </c>
      <c r="L17" s="1025">
        <f>IF(ISNUMBER(NºAsuntos!I17/NºAsuntos!G17),(NºAsuntos!I17/NºAsuntos!G17)*11," - ")</f>
        <v>8.1052631578947363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5059</v>
      </c>
      <c r="D18" s="1049">
        <f>SUBTOTAL(9,D15:D17)</f>
        <v>5022</v>
      </c>
      <c r="E18" s="1050">
        <f>SUBTOTAL(9,E15:E17)</f>
        <v>4362</v>
      </c>
      <c r="F18" s="1050">
        <f>SUBTOTAL(9,F15:F17)</f>
        <v>4200</v>
      </c>
      <c r="G18" s="1052" t="str">
        <f ca="1">INDIRECT(CONCATENATE("G",ROW()-1))</f>
        <v>37</v>
      </c>
      <c r="H18" s="1053">
        <f ca="1">SUMIF(G$14:G17,G18,H$14:H17)</f>
        <v>294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5173</v>
      </c>
      <c r="D19" s="1071">
        <f>SUBTOTAL(9,D9:D18)</f>
        <v>5136</v>
      </c>
      <c r="E19" s="1072">
        <f>SUBTOTAL(9,E9:E18)</f>
        <v>4398</v>
      </c>
      <c r="F19" s="1072">
        <f>SUBTOTAL(9,F9:F18)</f>
        <v>4229</v>
      </c>
      <c r="G19" s="1073"/>
      <c r="H19" s="1074">
        <f ca="1">SUMIF(B9:B18,"TOTAL",H9:H18)</f>
        <v>294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Bra9Ma4j7LAvu+CJkY/lck0bWFWNAwKgdBukvjuYgdw+XlnhtDJkold6CCoUzibG9FRXJAu5hhTq/a5BRsivA==" saltValue="GGZ1cJuURgVs4z3aNAU7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cul9i72TWGrH7KCrxh6rKPQ42g7+RR7GXsQaVid8yE8/EdhNCc1etQVj4syRMB3rxDg2b11DnQCas0Gj3Wzlw==" saltValue="+vIKkUhBXoKZ39P2ehtq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5739</v>
      </c>
      <c r="J9" s="181">
        <v>2300</v>
      </c>
      <c r="K9" s="181">
        <v>1951</v>
      </c>
      <c r="L9" s="181">
        <v>6091</v>
      </c>
      <c r="M9" s="181">
        <v>482</v>
      </c>
      <c r="N9" s="181">
        <v>692</v>
      </c>
      <c r="O9" s="181">
        <v>903</v>
      </c>
      <c r="P9" s="181">
        <v>466</v>
      </c>
      <c r="Q9" s="181">
        <v>416</v>
      </c>
      <c r="R9" s="181">
        <v>7579</v>
      </c>
      <c r="S9" s="181">
        <v>5916</v>
      </c>
      <c r="T9" s="181">
        <v>1897</v>
      </c>
      <c r="U9" s="181">
        <v>1600</v>
      </c>
      <c r="V9" s="181">
        <v>6213</v>
      </c>
      <c r="W9" s="181">
        <v>402</v>
      </c>
      <c r="X9" s="188">
        <v>692</v>
      </c>
      <c r="Y9" s="191">
        <v>156</v>
      </c>
      <c r="Z9" s="181">
        <v>26</v>
      </c>
      <c r="AA9" s="181">
        <v>50</v>
      </c>
      <c r="AB9" s="181">
        <v>132</v>
      </c>
      <c r="AC9" s="181">
        <v>0</v>
      </c>
      <c r="AD9" s="181">
        <v>0</v>
      </c>
      <c r="AE9" s="181">
        <v>0</v>
      </c>
      <c r="AF9" s="188">
        <v>0</v>
      </c>
      <c r="AG9" s="191">
        <v>163</v>
      </c>
      <c r="AH9" s="181">
        <v>128</v>
      </c>
      <c r="AI9" s="181">
        <v>115</v>
      </c>
      <c r="AJ9" s="192">
        <v>176</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6079</v>
      </c>
      <c r="AZ9" s="123">
        <f>IF(ISNUMBER(IF(J_V="SI",T9,T9+AH9)),IF(J_V="SI",T9,T9+AH9)," - ")</f>
        <v>2025</v>
      </c>
      <c r="BA9" s="124">
        <f>IF(ISNUMBER(IF(J_V="SI",U9,U9+AI9)),IF(J_V="SI",U9,U9+AI9)," - ")</f>
        <v>1715</v>
      </c>
      <c r="BB9" s="124">
        <f>IF(ISNUMBER(IF(J_V="SI",V9,V9+AJ9)),IF(J_V="SI",V9,V9+AJ9)," - ")</f>
        <v>6389</v>
      </c>
      <c r="BC9" s="125">
        <f>IF(ISNUMBER(X9),X9," - ")</f>
        <v>692</v>
      </c>
      <c r="BD9" s="126">
        <f>IF(ISNUMBER(BA9/AZ9),BA9/AZ9," - ")</f>
        <v>0.84691358024691354</v>
      </c>
      <c r="BE9" s="127">
        <f>IF(ISNUMBER(BB9/BA9),BB9/BA9, " - ")</f>
        <v>3.7253644314868803</v>
      </c>
      <c r="BF9" s="127">
        <f>IF(ISNUMBER(BC9/BA9),BC9/BA9, " - ")</f>
        <v>0.40349854227405246</v>
      </c>
      <c r="BG9" s="196">
        <f>IF(ISNUMBER((AY9+AZ9)/BA9),(AY9+AZ9)/BA9," - ")</f>
        <v>4.7253644314868808</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114</v>
      </c>
      <c r="J10" s="181">
        <v>36</v>
      </c>
      <c r="K10" s="181">
        <v>29</v>
      </c>
      <c r="L10" s="181">
        <v>121</v>
      </c>
      <c r="M10" s="181">
        <v>16</v>
      </c>
      <c r="N10" s="181">
        <v>7</v>
      </c>
      <c r="O10" s="181">
        <v>7</v>
      </c>
      <c r="P10" s="181">
        <v>2</v>
      </c>
      <c r="Q10" s="181">
        <v>5</v>
      </c>
      <c r="R10" s="181">
        <v>18</v>
      </c>
      <c r="S10" s="181">
        <v>124</v>
      </c>
      <c r="T10" s="181">
        <v>14</v>
      </c>
      <c r="U10" s="181">
        <v>18</v>
      </c>
      <c r="V10" s="181">
        <v>120</v>
      </c>
      <c r="W10" s="181">
        <v>8</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124</v>
      </c>
      <c r="AZ10" s="129">
        <f t="shared" si="0"/>
        <v>14</v>
      </c>
      <c r="BA10" s="129">
        <f t="shared" si="0"/>
        <v>18</v>
      </c>
      <c r="BB10" s="129">
        <f t="shared" si="0"/>
        <v>120</v>
      </c>
      <c r="BC10" s="125">
        <f t="shared" si="0"/>
        <v>8</v>
      </c>
      <c r="BD10" s="126">
        <f>IF(ISNUMBER(BA10/AZ10),BA10/AZ10," - ")</f>
        <v>1.2857142857142858</v>
      </c>
      <c r="BE10" s="127">
        <f>IF(ISNUMBER(BB10/BA10),BB10/BA10, " - ")</f>
        <v>6.666666666666667</v>
      </c>
      <c r="BF10" s="127">
        <f>IF(ISNUMBER(BC10/BA10),BC10/BA10, " - ")</f>
        <v>0.44444444444444442</v>
      </c>
      <c r="BG10" s="196">
        <f>IF(ISNUMBER((AY10+AZ10)/BA10),(AY10+AZ10)/BA10," - ")</f>
        <v>7.666666666666667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173</v>
      </c>
      <c r="J11" s="183">
        <v>243</v>
      </c>
      <c r="K11" s="183">
        <v>152</v>
      </c>
      <c r="L11" s="183">
        <v>264</v>
      </c>
      <c r="M11" s="183">
        <v>48</v>
      </c>
      <c r="N11" s="183">
        <v>92</v>
      </c>
      <c r="O11" s="181">
        <v>8</v>
      </c>
      <c r="P11" s="183">
        <v>1</v>
      </c>
      <c r="Q11" s="183">
        <v>0</v>
      </c>
      <c r="R11" s="183">
        <v>1</v>
      </c>
      <c r="S11" s="183">
        <v>0</v>
      </c>
      <c r="T11" s="183">
        <v>0</v>
      </c>
      <c r="U11" s="183">
        <v>0</v>
      </c>
      <c r="V11" s="183">
        <v>0</v>
      </c>
      <c r="W11" s="183">
        <v>0</v>
      </c>
      <c r="X11" s="189">
        <v>0</v>
      </c>
      <c r="Y11" s="191">
        <v>16</v>
      </c>
      <c r="Z11" s="181">
        <v>79</v>
      </c>
      <c r="AA11" s="181">
        <v>73</v>
      </c>
      <c r="AB11" s="181">
        <v>22</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6026</v>
      </c>
      <c r="J13" s="184">
        <f t="shared" si="6"/>
        <v>2579</v>
      </c>
      <c r="K13" s="184">
        <f t="shared" si="6"/>
        <v>2132</v>
      </c>
      <c r="L13" s="184">
        <f t="shared" si="6"/>
        <v>6476</v>
      </c>
      <c r="M13" s="184">
        <f t="shared" si="6"/>
        <v>546</v>
      </c>
      <c r="N13" s="184">
        <f t="shared" si="6"/>
        <v>791</v>
      </c>
      <c r="O13" s="184">
        <f t="shared" si="6"/>
        <v>918</v>
      </c>
      <c r="P13" s="184">
        <f t="shared" si="6"/>
        <v>469</v>
      </c>
      <c r="Q13" s="184">
        <f t="shared" si="6"/>
        <v>421</v>
      </c>
      <c r="R13" s="184">
        <f t="shared" si="6"/>
        <v>7598</v>
      </c>
      <c r="S13" s="184">
        <f t="shared" si="6"/>
        <v>6040</v>
      </c>
      <c r="T13" s="184">
        <f t="shared" si="6"/>
        <v>1911</v>
      </c>
      <c r="U13" s="184">
        <f t="shared" si="6"/>
        <v>1618</v>
      </c>
      <c r="V13" s="184">
        <f t="shared" si="6"/>
        <v>6333</v>
      </c>
      <c r="W13" s="184">
        <f t="shared" si="6"/>
        <v>410</v>
      </c>
      <c r="X13" s="184">
        <f t="shared" si="6"/>
        <v>704</v>
      </c>
      <c r="Y13" s="184">
        <f t="shared" si="6"/>
        <v>172</v>
      </c>
      <c r="Z13" s="184">
        <f t="shared" si="6"/>
        <v>105</v>
      </c>
      <c r="AA13" s="184">
        <f t="shared" si="6"/>
        <v>123</v>
      </c>
      <c r="AB13" s="184">
        <f t="shared" si="6"/>
        <v>154</v>
      </c>
      <c r="AC13" s="184">
        <f t="shared" si="6"/>
        <v>0</v>
      </c>
      <c r="AD13" s="184">
        <f t="shared" si="6"/>
        <v>0</v>
      </c>
      <c r="AE13" s="184">
        <f t="shared" si="6"/>
        <v>0</v>
      </c>
      <c r="AF13" s="184">
        <f>SUBTOTAL(9,AF9:AF12)</f>
        <v>0</v>
      </c>
      <c r="AG13" s="184">
        <f t="shared" ref="AG13:AT13" si="7">SUBTOTAL(9,AG8:AG12)</f>
        <v>163</v>
      </c>
      <c r="AH13" s="184">
        <f t="shared" si="7"/>
        <v>128</v>
      </c>
      <c r="AI13" s="184">
        <f t="shared" si="7"/>
        <v>115</v>
      </c>
      <c r="AJ13" s="184">
        <f t="shared" si="7"/>
        <v>176</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6203</v>
      </c>
      <c r="AZ13" s="184">
        <f>SUBTOTAL(9,AZ8:AZ12)</f>
        <v>2039</v>
      </c>
      <c r="BA13" s="184">
        <f>SUBTOTAL(9,BA8:BA12)</f>
        <v>1733</v>
      </c>
      <c r="BB13" s="184">
        <f>SUBTOTAL(9,BB8:BB12)</f>
        <v>6509</v>
      </c>
      <c r="BC13" s="184">
        <f>SUBTOTAL(9,BC8:BC12)</f>
        <v>700</v>
      </c>
      <c r="BD13" s="205">
        <f>IF(ISNUMBER(BA13/AZ13),BA13/AZ13," - ")</f>
        <v>0.84992643452672878</v>
      </c>
      <c r="BE13" s="206">
        <f>IF(ISNUMBER(BB13/BA13),BB13/BA13, " - ")</f>
        <v>3.7559145989613385</v>
      </c>
      <c r="BF13" s="206">
        <f>IF(ISNUMBER(BC13/BA13),BC13/BA13, " - ")</f>
        <v>0.40392383150605887</v>
      </c>
      <c r="BG13" s="207">
        <f>IF(ISNUMBER((AY13+AZ13)/BA13),(AY13+AZ13)/BA13," - ")</f>
        <v>4.7559145989613389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4774</v>
      </c>
      <c r="J15" s="183">
        <v>3917</v>
      </c>
      <c r="K15" s="183">
        <v>3801</v>
      </c>
      <c r="L15" s="183">
        <v>4927</v>
      </c>
      <c r="M15" s="183">
        <v>525</v>
      </c>
      <c r="N15" s="183">
        <v>2538</v>
      </c>
      <c r="O15" s="181">
        <v>18</v>
      </c>
      <c r="P15" s="183">
        <v>98</v>
      </c>
      <c r="Q15" s="183">
        <v>36</v>
      </c>
      <c r="R15" s="183">
        <v>303</v>
      </c>
      <c r="S15" s="183">
        <v>4280</v>
      </c>
      <c r="T15" s="183">
        <v>4067</v>
      </c>
      <c r="U15" s="183">
        <v>3694</v>
      </c>
      <c r="V15" s="183">
        <v>5232</v>
      </c>
      <c r="W15" s="183">
        <v>524</v>
      </c>
      <c r="X15" s="189">
        <v>2424</v>
      </c>
      <c r="Y15" s="202">
        <v>0</v>
      </c>
      <c r="Z15" s="183">
        <v>0</v>
      </c>
      <c r="AA15" s="183">
        <v>0</v>
      </c>
      <c r="AB15" s="183">
        <v>0</v>
      </c>
      <c r="AC15" s="183">
        <v>0</v>
      </c>
      <c r="AD15" s="183">
        <v>2</v>
      </c>
      <c r="AE15" s="183">
        <v>2</v>
      </c>
      <c r="AF15" s="189">
        <v>0</v>
      </c>
      <c r="AG15" s="202">
        <v>0</v>
      </c>
      <c r="AH15" s="183">
        <v>0</v>
      </c>
      <c r="AI15" s="183">
        <v>0</v>
      </c>
      <c r="AJ15" s="203">
        <v>0</v>
      </c>
      <c r="AK15" s="182">
        <v>0</v>
      </c>
      <c r="AL15" s="183">
        <v>1</v>
      </c>
      <c r="AM15" s="183">
        <v>1</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4280</v>
      </c>
      <c r="AZ15" s="129">
        <f t="shared" si="9"/>
        <v>4067</v>
      </c>
      <c r="BA15" s="129">
        <f t="shared" si="9"/>
        <v>3694</v>
      </c>
      <c r="BB15" s="129">
        <f t="shared" si="9"/>
        <v>5232</v>
      </c>
      <c r="BC15" s="125">
        <f>IF(ISNUMBER(W15),W15," - ")</f>
        <v>524</v>
      </c>
      <c r="BD15" s="126">
        <f>IF(ISNUMBER(BA15/AZ15),BA15/AZ15," - ")</f>
        <v>0.90828620604868449</v>
      </c>
      <c r="BE15" s="127">
        <f>IF(ISNUMBER(BB15/BA15),BB15/BA15, " - ")</f>
        <v>1.4163508391987005</v>
      </c>
      <c r="BF15" s="127">
        <f>IF(ISNUMBER(BC15/BA15),BC15/BA15, " - ")</f>
        <v>0.14185165132647537</v>
      </c>
      <c r="BG15" s="196">
        <f t="shared" ref="BG15:BG16" si="10">IF(ISNUMBER((AY15+AZ15)/BA15),(AY15+AZ15)/BA15," - ")</f>
        <v>2.2596101786681104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248</v>
      </c>
      <c r="J17" s="183">
        <v>445</v>
      </c>
      <c r="K17" s="183">
        <v>399</v>
      </c>
      <c r="L17" s="183">
        <v>294</v>
      </c>
      <c r="M17" s="183">
        <v>55</v>
      </c>
      <c r="N17" s="183">
        <v>233</v>
      </c>
      <c r="O17" s="183">
        <v>4</v>
      </c>
      <c r="P17" s="183">
        <v>3</v>
      </c>
      <c r="Q17" s="183">
        <v>5</v>
      </c>
      <c r="R17" s="183">
        <v>10</v>
      </c>
      <c r="S17" s="183">
        <v>249</v>
      </c>
      <c r="T17" s="183">
        <v>474</v>
      </c>
      <c r="U17" s="183">
        <v>473</v>
      </c>
      <c r="V17" s="183">
        <v>250</v>
      </c>
      <c r="W17" s="183">
        <v>79</v>
      </c>
      <c r="X17" s="189">
        <v>282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249</v>
      </c>
      <c r="AZ17" s="129">
        <f t="shared" si="14"/>
        <v>474</v>
      </c>
      <c r="BA17" s="129">
        <f t="shared" si="14"/>
        <v>473</v>
      </c>
      <c r="BB17" s="129">
        <f t="shared" si="14"/>
        <v>250</v>
      </c>
      <c r="BC17" s="125">
        <f>IF(ISNUMBER(W17),W17," - ")</f>
        <v>79</v>
      </c>
      <c r="BD17" s="126">
        <f>IF(ISNUMBER(BA17/AZ17),BA17/AZ17," - ")</f>
        <v>0.99789029535864981</v>
      </c>
      <c r="BE17" s="127">
        <f>IF(ISNUMBER(BB17/BA17),BB17/BA17, " - ")</f>
        <v>0.52854122621564481</v>
      </c>
      <c r="BF17" s="127">
        <f>IF(ISNUMBER(BC17/BA17),BC17/BA17, " - ")</f>
        <v>0.16701902748414377</v>
      </c>
      <c r="BG17" s="196">
        <f>IF(ISNUMBER((AY17+AZ17)/BA17),(AY17+AZ17)/BA17," - ")</f>
        <v>1.5285412262156448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5022</v>
      </c>
      <c r="J18" s="184">
        <f t="shared" si="15"/>
        <v>4362</v>
      </c>
      <c r="K18" s="184">
        <f t="shared" si="15"/>
        <v>4200</v>
      </c>
      <c r="L18" s="184">
        <f t="shared" si="15"/>
        <v>5221</v>
      </c>
      <c r="M18" s="184">
        <f t="shared" si="15"/>
        <v>580</v>
      </c>
      <c r="N18" s="184">
        <f t="shared" si="15"/>
        <v>2771</v>
      </c>
      <c r="O18" s="184">
        <f t="shared" si="15"/>
        <v>22</v>
      </c>
      <c r="P18" s="184">
        <f t="shared" si="15"/>
        <v>101</v>
      </c>
      <c r="Q18" s="184">
        <f t="shared" si="15"/>
        <v>41</v>
      </c>
      <c r="R18" s="184">
        <f t="shared" si="15"/>
        <v>313</v>
      </c>
      <c r="S18" s="184">
        <f t="shared" si="15"/>
        <v>4529</v>
      </c>
      <c r="T18" s="184">
        <f t="shared" si="15"/>
        <v>4541</v>
      </c>
      <c r="U18" s="184">
        <f t="shared" si="15"/>
        <v>4167</v>
      </c>
      <c r="V18" s="184">
        <f t="shared" si="15"/>
        <v>5482</v>
      </c>
      <c r="W18" s="184">
        <f t="shared" si="15"/>
        <v>603</v>
      </c>
      <c r="X18" s="184">
        <f t="shared" si="15"/>
        <v>2706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4529</v>
      </c>
      <c r="AZ18" s="184">
        <f>SUBTOTAL(9,AZ14:AZ17)</f>
        <v>4541</v>
      </c>
      <c r="BA18" s="184">
        <f>SUBTOTAL(9,BA14:BA17)</f>
        <v>4167</v>
      </c>
      <c r="BB18" s="184">
        <f>SUBTOTAL(9,BB14:BB17)</f>
        <v>5482</v>
      </c>
      <c r="BC18" s="184">
        <f>SUBTOTAL(9,BC14:BC17)</f>
        <v>603</v>
      </c>
      <c r="BD18" s="205">
        <f>IF(ISNUMBER(BA18/AZ18),BA18/AZ18," - ")</f>
        <v>0.91763928650077076</v>
      </c>
      <c r="BE18" s="206">
        <f>IF(ISNUMBER(BB18/BA18),BB18/BA18, " - ")</f>
        <v>1.3155747540196785</v>
      </c>
      <c r="BF18" s="206">
        <f>IF(ISNUMBER(BC18/BA18),BC18/BA18, " - ")</f>
        <v>0.1447084233261339</v>
      </c>
      <c r="BG18" s="207">
        <f>IF(ISNUMBER((AY18+AZ18)/BA18),(AY18+AZ18)/BA18," - ")</f>
        <v>2.1766258699304055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11048</v>
      </c>
      <c r="J19" s="134">
        <f t="shared" si="18"/>
        <v>6941</v>
      </c>
      <c r="K19" s="134">
        <f t="shared" si="18"/>
        <v>6332</v>
      </c>
      <c r="L19" s="134">
        <f t="shared" si="18"/>
        <v>11697</v>
      </c>
      <c r="M19" s="134">
        <f t="shared" si="18"/>
        <v>1126</v>
      </c>
      <c r="N19" s="134">
        <f t="shared" si="18"/>
        <v>3562</v>
      </c>
      <c r="O19" s="134">
        <f t="shared" si="18"/>
        <v>940</v>
      </c>
      <c r="P19" s="134">
        <f t="shared" si="18"/>
        <v>570</v>
      </c>
      <c r="Q19" s="134">
        <f t="shared" si="18"/>
        <v>462</v>
      </c>
      <c r="R19" s="134">
        <f t="shared" si="18"/>
        <v>7911</v>
      </c>
      <c r="S19" s="134">
        <f t="shared" si="18"/>
        <v>10569</v>
      </c>
      <c r="T19" s="134">
        <f t="shared" si="18"/>
        <v>6452</v>
      </c>
      <c r="U19" s="134">
        <f t="shared" si="18"/>
        <v>5785</v>
      </c>
      <c r="V19" s="134">
        <f t="shared" si="18"/>
        <v>11815</v>
      </c>
      <c r="W19" s="134">
        <f t="shared" si="18"/>
        <v>1013</v>
      </c>
      <c r="X19" s="134">
        <f t="shared" si="18"/>
        <v>3410</v>
      </c>
      <c r="Y19" s="134">
        <f t="shared" si="18"/>
        <v>172</v>
      </c>
      <c r="Z19" s="134">
        <f t="shared" si="18"/>
        <v>105</v>
      </c>
      <c r="AA19" s="134">
        <f t="shared" si="18"/>
        <v>123</v>
      </c>
      <c r="AB19" s="134">
        <f t="shared" si="18"/>
        <v>154</v>
      </c>
      <c r="AC19" s="134">
        <f t="shared" si="18"/>
        <v>0</v>
      </c>
      <c r="AD19" s="134">
        <f t="shared" si="18"/>
        <v>2</v>
      </c>
      <c r="AE19" s="134">
        <f t="shared" si="18"/>
        <v>2</v>
      </c>
      <c r="AF19" s="134">
        <f t="shared" si="18"/>
        <v>0</v>
      </c>
      <c r="AG19" s="134">
        <f t="shared" si="18"/>
        <v>163</v>
      </c>
      <c r="AH19" s="134">
        <f t="shared" si="18"/>
        <v>128</v>
      </c>
      <c r="AI19" s="134">
        <f t="shared" si="18"/>
        <v>115</v>
      </c>
      <c r="AJ19" s="134">
        <f t="shared" si="18"/>
        <v>176</v>
      </c>
      <c r="AK19" s="134">
        <f t="shared" si="18"/>
        <v>0</v>
      </c>
      <c r="AL19" s="134">
        <f t="shared" si="18"/>
        <v>1</v>
      </c>
      <c r="AM19" s="134">
        <f t="shared" si="18"/>
        <v>1</v>
      </c>
      <c r="AN19" s="210">
        <f t="shared" si="18"/>
        <v>0</v>
      </c>
      <c r="AO19" s="211">
        <v>11</v>
      </c>
      <c r="AP19" s="211">
        <v>11</v>
      </c>
      <c r="AQ19" s="211">
        <v>11</v>
      </c>
      <c r="AR19" s="211">
        <v>11</v>
      </c>
      <c r="AS19" s="153">
        <f t="shared" si="18"/>
        <v>0</v>
      </c>
      <c r="AT19" s="153">
        <f t="shared" si="18"/>
        <v>0</v>
      </c>
      <c r="AU19" s="211"/>
      <c r="AV19" s="212"/>
      <c r="AW19" s="211"/>
      <c r="AX19" s="212"/>
      <c r="AY19" s="133">
        <f>SUBTOTAL(9,AY9:AY18)</f>
        <v>10732</v>
      </c>
      <c r="AZ19" s="134">
        <f>SUBTOTAL(9,AZ9:AZ18)</f>
        <v>6580</v>
      </c>
      <c r="BA19" s="134">
        <f>SUBTOTAL(9,BA9:BA18)</f>
        <v>5900</v>
      </c>
      <c r="BB19" s="134">
        <f>SUBTOTAL(9,BB9:BB18)</f>
        <v>11991</v>
      </c>
      <c r="BC19" s="135">
        <f>SUBTOTAL(9,BC9:BC18)</f>
        <v>1303</v>
      </c>
      <c r="BD19" s="213">
        <f>IF(ISNUMBER(BA19/AZ19),BA19/AZ19," - ")</f>
        <v>0.89665653495440734</v>
      </c>
      <c r="BE19" s="210">
        <f>IF(ISNUMBER(BB19/BA19),BB19/BA19, " - ")</f>
        <v>2.0323728813559323</v>
      </c>
      <c r="BF19" s="210">
        <f>IF(ISNUMBER(BC19/BA19),BC19/BA19, " - ")</f>
        <v>0.22084745762711863</v>
      </c>
      <c r="BG19" s="135">
        <f>IF(ISNUMBER((AY19+AZ19)/BA19),(AY19+AZ19)/BA19," - ")</f>
        <v>2.9342372881355931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zh6XNyIHAB9M7UdKGtXHT2nc9sYiMjH6SOsDqIKIk7IvZAo5fBJbC+C9qGgFcTSSaDk9PWAQk8Aw3L4DpcQUw==" saltValue="7+W46f8k13RnDGanwlJW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A/Bw7Hxu8tq+1fw80sn+ntcPc28NYQos7ijCG8CilXRjQ7ZbNvUnv7YHrGKKLgZPYqxNVYs7gXM1DDxk32vA==" saltValue="FoOLVXrWZ1HNmG9YqGIX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26</v>
      </c>
      <c r="O9" s="334"/>
      <c r="P9" s="334"/>
      <c r="Q9" s="226">
        <f>IF(ISNUMBER(Datos!P9),Datos!P9,0)</f>
        <v>466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132</v>
      </c>
      <c r="AI9" s="334" t="str">
        <f>IF(ISNUMBER(Datos!CD9),Datos!CD9,"-")</f>
        <v>-</v>
      </c>
      <c r="AJ9" s="334" t="str">
        <f>IF(ISNUMBER(Datos!EN9),Datos!EN9," - ")</f>
        <v xml:space="preserve"> - </v>
      </c>
      <c r="AK9" s="334"/>
      <c r="AL9" s="479"/>
      <c r="AM9" s="335">
        <f>IF(ISNUMBER(Datos!R9),Datos!R9," - ")</f>
        <v>7579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482</v>
      </c>
      <c r="BD9" s="229">
        <f>IF(ISNUMBER(Datos!N9),Datos!N9," - ")</f>
        <v>692</v>
      </c>
      <c r="BE9" s="229" t="str">
        <f>IF(ISNUMBER(Datos!BW9),Datos!BW9," - ")</f>
        <v xml:space="preserve"> - </v>
      </c>
      <c r="BF9" s="228" t="str">
        <f>IF(ISNUMBER(Datos!BX9),Datos!BX9," - ")</f>
        <v xml:space="preserve"> - </v>
      </c>
      <c r="BG9" s="243">
        <f>IF(ISNUMBER(IF(J_V="SI",Datos!K9/Datos!J9,(Datos!K9+Datos!AA9)/(Datos!J9+Datos!Z9))),IF(J_V="SI",Datos!K9/Datos!J9,(Datos!K9+Datos!AA9)/(Datos!J9+Datos!Z9))," - ")</f>
        <v>0.86027515047291492</v>
      </c>
      <c r="BH9" s="260">
        <f>IF(ISNUMBER(((IF(J_V="SI",Datos!L9/Datos!K9,(Datos!L9+Datos!AB9)/(Datos!K9+Datos!AA9)))*11)/factor_trimestre),((IF(J_V="SI",Datos!L9/Datos!K9,(Datos!L9+Datos!AB9)/(Datos!K9+Datos!AA9)))*11)/factor_trimestre," - ")</f>
        <v>6.2198900549725131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6.6409881790410411E-3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114</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5</v>
      </c>
      <c r="AD10" s="334"/>
      <c r="AE10" s="484"/>
      <c r="AF10" s="332">
        <f>IF(ISNUMBER(Datos!L10),Datos!L10,"-")</f>
        <v>121</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7</v>
      </c>
      <c r="BE10" s="229" t="str">
        <f>IF(ISNUMBER(Datos!BW10),Datos!BW10," - ")</f>
        <v xml:space="preserve"> - </v>
      </c>
      <c r="BF10" s="228" t="str">
        <f>IF(ISNUMBER(Datos!BX10),Datos!BX10," - ")</f>
        <v xml:space="preserve"> - </v>
      </c>
      <c r="BG10" s="243">
        <f>IF(ISNUMBER(Datos!K10/Datos!J10),Datos!K10/Datos!J10," - ")</f>
        <v>0.80555555555555558</v>
      </c>
      <c r="BH10" s="260">
        <f>IF(ISNUMBER(((Datos!L10/Datos!K10)*11)/factor_trimestre),((Datos!L10/Datos!K10)*11)/factor_trimestre," - ")</f>
        <v>8.3448275862068968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79</v>
      </c>
      <c r="O11" s="334"/>
      <c r="P11" s="334"/>
      <c r="Q11" s="226">
        <f>IF(ISNUMBER(Datos!P11),Datos!P11,0)</f>
        <v>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0</v>
      </c>
      <c r="AD11" s="334"/>
      <c r="AE11" s="484"/>
      <c r="AF11" s="332" t="str">
        <f>IF(ISNUMBER(IF(J_V="SI",Datos!L11,Datos!L11+Datos!AB11)-IF(Monitorios="SI",Datos!CD11,0)),
                          IF(J_V="SI",Datos!L11,Datos!L11+Datos!AB11)-IF(Monitorios="SI",Datos!CD11,0),
                          " - ")</f>
        <v xml:space="preserve"> - </v>
      </c>
      <c r="AG11" s="334"/>
      <c r="AH11" s="334">
        <f>IF(ISNUMBER(Datos!AB11),Datos!AB11,"-")</f>
        <v>22</v>
      </c>
      <c r="AI11" s="334"/>
      <c r="AJ11" s="334"/>
      <c r="AK11" s="334"/>
      <c r="AL11" s="479"/>
      <c r="AM11" s="335">
        <f>IF(ISNUMBER(Datos!R11),Datos!R11," - ")</f>
        <v>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48</v>
      </c>
      <c r="BD11" s="229">
        <f>IF(ISNUMBER(Datos!N11),Datos!N11," - ")</f>
        <v>92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0.69875776397515532</v>
      </c>
      <c r="BH11" s="260">
        <f>IF(ISNUMBER(((IF(J_V="SI",Datos!L11/Datos!K11,(Datos!L11+Datos!AB11)/(Datos!K11+Datos!AA11)))*11)/factor_trimestre),((IF(J_V="SI",Datos!L11/Datos!K11,(Datos!L11+Datos!AB11)/(Datos!K11+Datos!AA11)))*11)/factor_trimestre," - ")</f>
        <v>2.5422222222222222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114</v>
      </c>
      <c r="G13" s="898">
        <f t="shared" si="0"/>
        <v>114</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469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421</v>
      </c>
      <c r="AD13" s="899">
        <f t="shared" si="1"/>
        <v>0</v>
      </c>
      <c r="AE13" s="899">
        <f t="shared" si="1"/>
        <v>0</v>
      </c>
      <c r="AF13" s="899">
        <f t="shared" si="1"/>
        <v>121</v>
      </c>
      <c r="AG13" s="899">
        <f t="shared" si="1"/>
        <v>0</v>
      </c>
      <c r="AH13" s="899">
        <f t="shared" si="1"/>
        <v>154</v>
      </c>
      <c r="AI13" s="899">
        <f t="shared" si="1"/>
        <v>0</v>
      </c>
      <c r="AJ13" s="899">
        <f t="shared" si="1"/>
        <v>0</v>
      </c>
      <c r="AK13" s="899">
        <f t="shared" si="1"/>
        <v>0</v>
      </c>
      <c r="AL13" s="899">
        <f t="shared" si="1"/>
        <v>0</v>
      </c>
      <c r="AM13" s="899">
        <f t="shared" si="1"/>
        <v>7598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546</v>
      </c>
      <c r="BD13" s="899">
        <f t="shared" si="1"/>
        <v>791</v>
      </c>
      <c r="BE13" s="899">
        <f t="shared" si="1"/>
        <v>0</v>
      </c>
      <c r="BF13" s="899">
        <f t="shared" si="1"/>
        <v>0</v>
      </c>
      <c r="BG13" s="899">
        <f>IF(ISNUMBER(Datos!K13/Datos!J13),Datos!K13/Datos!J13," - ")</f>
        <v>0.82667700659170218</v>
      </c>
      <c r="BH13" s="903">
        <f>IF(ISNUMBER(((Datos!L13/Datos!K13)*11)/factor_trimestre),((Datos!L13/Datos!K13)*11)/factor_trimestre," - ")</f>
        <v>6.0750469043151973</v>
      </c>
      <c r="BI13" s="899">
        <f>IF(ISNUMBER('Resol  Asuntos'!D13/NºAsuntos!G13),'Resol  Asuntos'!D13/NºAsuntos!G13," - ")</f>
        <v>0.24212860310421286</v>
      </c>
      <c r="BJ13" s="899" t="str">
        <f>IF(ISNUMBER(Datos!CI13/Datos!CJ13),Datos!CI13/Datos!CJ13," - ")</f>
        <v xml:space="preserve"> - </v>
      </c>
      <c r="BK13" s="899">
        <f>SUBTOTAL(9,BK8:BK12)</f>
        <v>0</v>
      </c>
      <c r="BL13" s="899">
        <f>IF(ISNUMBER((I13-AB13+L13)/(F13)),(I13-AB13+L13)/(F13)," - ")</f>
        <v>-0.25438596491228072</v>
      </c>
      <c r="BM13" s="904">
        <f>SUBTOTAL(9,BM9:BM12)</f>
        <v>-0.1362161546781018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4811</v>
      </c>
      <c r="G15" s="598">
        <f>IF(ISNUMBER(IF(D_I="SI",Datos!I15,Datos!I15+Datos!AC15)),IF(D_I="SI",Datos!I15,Datos!I15+Datos!AC15)," - ")</f>
        <v>4774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3801</v>
      </c>
      <c r="AC15" s="226">
        <f>IF(ISNUMBER(Datos!Q15),Datos!Q15," - ")</f>
        <v>36</v>
      </c>
      <c r="AD15" s="334"/>
      <c r="AE15" s="484"/>
      <c r="AF15" s="596">
        <f>IF(ISNUMBER(IF(D_I="SI",Datos!L15,Datos!L15+Datos!AF15)),IF(D_I="SI",Datos!L15,Datos!L15+Datos!AF15)," - ")</f>
        <v>4927</v>
      </c>
      <c r="AG15" s="334"/>
      <c r="AH15" s="334"/>
      <c r="AI15" s="334"/>
      <c r="AJ15" s="334"/>
      <c r="AK15" s="334"/>
      <c r="AL15" s="479"/>
      <c r="AM15" s="335">
        <f>IF(ISNUMBER(Datos!R15),Datos!R15," - ")</f>
        <v>303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525</v>
      </c>
      <c r="BD15" s="229">
        <f>IF(ISNUMBER(Datos!N15),Datos!N15," - ")</f>
        <v>2538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0.97038549910645899</v>
      </c>
      <c r="BH15" s="260">
        <f>IF(ISNUMBER(((IF(D_I="SI",Datos!L15/Datos!K15,(Datos!L15+Datos!AF15)/(Datos!K15+Datos!AE15)))*11)/factor_trimestre),((IF(D_I="SI",Datos!L15/Datos!K15,(Datos!L15+Datos!AF15)/(Datos!K15+Datos!AE15)))*11)/factor_trimestre," - ")</f>
        <v>2.5924756642988687</v>
      </c>
      <c r="BI15" s="243">
        <f>IF(ISNUMBER('Resol  Asuntos'!D15/NºAsuntos!G15),'Resol  Asuntos'!D15/NºAsuntos!G15," - ")</f>
        <v>0.13812154696132597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399</v>
      </c>
      <c r="AC17" s="226">
        <f>IF(ISNUMBER(Datos!Q17),Datos!Q17," - ")</f>
        <v>5</v>
      </c>
      <c r="AD17" s="334"/>
      <c r="AE17" s="484"/>
      <c r="AF17" s="332">
        <f>IF(ISNUMBER(Datos!L17),Datos!L17,"-")</f>
        <v>294</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55</v>
      </c>
      <c r="BD17" s="229">
        <f>IF(ISNUMBER(Datos!N17),Datos!N17," - ")</f>
        <v>233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0.89662921348314606</v>
      </c>
      <c r="BH17" s="260">
        <f>IF(ISNUMBER(((IF(D_I="SI",Datos!L17/Datos!K17,(Datos!L17+Datos!AF17)/(Datos!K17+Datos!AE17)))*11)/factor_trimestre),((IF(D_I="SI",Datos!L17/Datos!K17,(Datos!L17+Datos!AF17)/(Datos!K17+Datos!AE17)))*11)/factor_trimestre," - ")</f>
        <v>1.4736842105263157</v>
      </c>
      <c r="BI17" s="243">
        <f>IF(ISNUMBER('Resol  Asuntos'!D17/NºAsuntos!G17),'Resol  Asuntos'!D17/NºAsuntos!G17," - ")</f>
        <v>0.13784461152882205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4811</v>
      </c>
      <c r="G18" s="898">
        <f>SUBTOTAL(9,G15:G17)</f>
        <v>5022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4200</v>
      </c>
      <c r="AC18" s="899">
        <f t="shared" si="4"/>
        <v>41</v>
      </c>
      <c r="AD18" s="899">
        <f t="shared" si="4"/>
        <v>0</v>
      </c>
      <c r="AE18" s="899">
        <f t="shared" si="4"/>
        <v>0</v>
      </c>
      <c r="AF18" s="899">
        <f t="shared" si="4"/>
        <v>5221</v>
      </c>
      <c r="AG18" s="899">
        <f t="shared" si="4"/>
        <v>0</v>
      </c>
      <c r="AH18" s="899">
        <f t="shared" si="4"/>
        <v>0</v>
      </c>
      <c r="AI18" s="899">
        <f t="shared" si="4"/>
        <v>0</v>
      </c>
      <c r="AJ18" s="899">
        <f t="shared" si="4"/>
        <v>0</v>
      </c>
      <c r="AK18" s="899">
        <f t="shared" si="4"/>
        <v>0</v>
      </c>
      <c r="AL18" s="899">
        <f t="shared" si="4"/>
        <v>0</v>
      </c>
      <c r="AM18" s="899">
        <f t="shared" si="4"/>
        <v>313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580</v>
      </c>
      <c r="BD18" s="899">
        <f t="shared" si="4"/>
        <v>2771</v>
      </c>
      <c r="BE18" s="899">
        <f t="shared" si="4"/>
        <v>0</v>
      </c>
      <c r="BF18" s="899">
        <f t="shared" si="4"/>
        <v>0</v>
      </c>
      <c r="BG18" s="899">
        <f>IF(ISNUMBER(Datos!K18/Datos!J18),Datos!K18/Datos!J18," - ")</f>
        <v>0.96286107290233836</v>
      </c>
      <c r="BH18" s="903">
        <f>IF(ISNUMBER(((Datos!L18/Datos!K18)*11)/factor_trimestre),((Datos!L18/Datos!K18)*11)/factor_trimestre," - ")</f>
        <v>2.4861904761904761</v>
      </c>
      <c r="BI18" s="899">
        <f>SUBTOTAL(9,BI15:BI17)</f>
        <v>0.27596615849014805</v>
      </c>
      <c r="BJ18" s="899">
        <f>SUBTOTAL(9,BJ15:BJ17)</f>
        <v>0</v>
      </c>
      <c r="BK18" s="899">
        <f>SUBTOTAL(9,BK15:BK17)</f>
        <v>0</v>
      </c>
      <c r="BL18" s="899">
        <f>IF(ISNUMBER((I18-AB18+L18)/(F18)),(I18-AB18+L18)/(F18)," - ")</f>
        <v>-0.87299937642901682</v>
      </c>
      <c r="BM18" s="905">
        <f>IF(ISNUMBER((Datos!P18-Datos!Q18)/(Datos!R18-Datos!P18+Datos!Q18)),(Datos!P18-Datos!Q18)/(Datos!R18-Datos!P18+Datos!Q18)," - ")</f>
        <v>0.23715415019762845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4925</v>
      </c>
      <c r="G19" s="820">
        <f t="shared" si="6"/>
        <v>5136</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570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4229</v>
      </c>
      <c r="AC19" s="821">
        <f t="shared" si="7"/>
        <v>462</v>
      </c>
      <c r="AD19" s="821">
        <f t="shared" si="7"/>
        <v>0</v>
      </c>
      <c r="AE19" s="821">
        <f t="shared" si="7"/>
        <v>0</v>
      </c>
      <c r="AF19" s="828">
        <f t="shared" si="7"/>
        <v>5342</v>
      </c>
      <c r="AG19" s="828">
        <f t="shared" si="7"/>
        <v>0</v>
      </c>
      <c r="AH19" s="828">
        <f t="shared" si="7"/>
        <v>154</v>
      </c>
      <c r="AI19" s="828">
        <f t="shared" si="7"/>
        <v>0</v>
      </c>
      <c r="AJ19" s="821">
        <f t="shared" si="7"/>
        <v>0</v>
      </c>
      <c r="AK19" s="828">
        <f t="shared" si="7"/>
        <v>0</v>
      </c>
      <c r="AL19" s="828">
        <f t="shared" si="7"/>
        <v>0</v>
      </c>
      <c r="AM19" s="828">
        <f t="shared" si="7"/>
        <v>7911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1126</v>
      </c>
      <c r="BD19" s="820">
        <f t="shared" si="7"/>
        <v>3562</v>
      </c>
      <c r="BE19" s="820">
        <f t="shared" si="7"/>
        <v>0</v>
      </c>
      <c r="BF19" s="830">
        <f t="shared" si="7"/>
        <v>0</v>
      </c>
      <c r="BG19" s="915">
        <f>IF(ISNUMBER(Datos!K19/Datos!J19),Datos!K19/Datos!J19," - ")</f>
        <v>0.91226048119867453</v>
      </c>
      <c r="BH19" s="915">
        <f>IF(ISNUMBER(((Datos!L19/Datos!K19)*11)/factor_trimestre),((Datos!L19/Datos!K19)*11)/factor_trimestre," - ")</f>
        <v>3.694567277321541</v>
      </c>
      <c r="BI19" s="813">
        <f>IF(ISNUMBER(Datos!J19/Datos!I19),Datos!J19/Datos!I19," - ")</f>
        <v>0.62825850832729901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-0.85868020304568526</v>
      </c>
      <c r="BM19" s="889">
        <f>IF(ISNUMBER((Datos!P19-Datos!Q19+R19)/(Datos!R19-Datos!P19+Datos!Q19-R19)),(Datos!P19-Datos!Q19+R19)/(Datos!R19-Datos!P19+Datos!Q19-R19)," - ")</f>
        <v>1.384083044982699E-2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2054.4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2711.8142143836722</v>
      </c>
      <c r="G21" s="552">
        <f>IF(ISNUMBER(STDEV(G8:G18)),STDEV(G8:G18),"-")</f>
        <v>2597.8962257950179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2117.8368209094865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265.69074396480471</v>
      </c>
      <c r="BD21" s="551"/>
      <c r="BE21" s="551">
        <f>IF(ISNUMBER(STDEV(BE8:BE18)),STDEV(BE8:BE18),"-")</f>
        <v>0</v>
      </c>
      <c r="BF21" s="556">
        <f>IF(ISNUMBER(STDEV(BF8:BF18)),STDEV(BF8:BF18),"-")</f>
        <v>0</v>
      </c>
      <c r="BG21" s="775">
        <f>IF(ISNUMBER(STDEV(BG8:BG18)),STDEV(BG8:BG18),"-")</f>
        <v>9.5026860895726831E-2</v>
      </c>
      <c r="BH21" s="776">
        <f>IF(ISNUMBER(STDEV(BH8:BH18)),STDEV(BH8:BH18),"-")</f>
        <v>2.5968470050786689</v>
      </c>
      <c r="BI21" s="249">
        <f>IF(ISNUMBER(STDEV(BI8:BI18)),STDEV(BI8:BI18),"-")</f>
        <v>7.1248610592685363E-2</v>
      </c>
      <c r="BJ21" s="230" t="str">
        <f>IF(ISNUMBER(BL21/BM21),BL21/BM21," - ")</f>
        <v xml:space="preserve"> - </v>
      </c>
      <c r="BK21" s="575"/>
      <c r="BL21" s="559">
        <f>IF(ISNUMBER(STDEV(BL8:BL18)),STDEV(BL8:BL18),"-")</f>
        <v>0.43742573821642833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fyl1a6kLBG/2sc+ZAoTHPHJFtBZ8m9mV4Ph9/8ASjcBFV5qS61hp2jo63XdUTvxaS0gxHe8pJn8jo3r09I5qQ==" saltValue="KFvBMQG6+fei5+Ah65R6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EIVISSA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466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416</v>
      </c>
      <c r="AA9" s="332" t="str">
        <f>IF(ISNUMBER(IF(J_V="SI",Datos!L9,Datos!L9+Datos!AB9)-IF(Monitorios="SI",Datos!CD9,0)),
                          IF(J_V="SI",Datos!L9,Datos!L9+Datos!AB9)-IF(Monitorios="SI",Datos!CD9,0),
                          " - ")</f>
        <v xml:space="preserve"> - </v>
      </c>
      <c r="AB9" s="334"/>
      <c r="AC9" s="334"/>
      <c r="AD9" s="484"/>
      <c r="AE9" s="484">
        <f>IF(ISNUMBER(Datos!R9),Datos!R9," - ")</f>
        <v>7579</v>
      </c>
      <c r="AF9" s="229" t="str">
        <f>IF(ISNUMBER(Datos!BV9),Datos!BV9," - ")</f>
        <v xml:space="preserve"> - </v>
      </c>
      <c r="AG9" s="225" t="str">
        <f>IF(ISNUMBER(Datos!DV9),Datos!DV9," - ")</f>
        <v xml:space="preserve"> - </v>
      </c>
      <c r="AH9" s="298"/>
      <c r="AI9" s="227"/>
      <c r="AJ9" s="225">
        <f>IF(ISNUMBER(Datos!M9),Datos!M9," - ")</f>
        <v>482</v>
      </c>
      <c r="AK9" s="229">
        <f>IF(ISNUMBER(Datos!N9),Datos!N9," - ")</f>
        <v>692</v>
      </c>
      <c r="AL9" s="229" t="str">
        <f>IF(ISNUMBER(Datos!BW9),Datos!BW9," - ")</f>
        <v xml:space="preserve"> - </v>
      </c>
      <c r="AM9" s="228" t="str">
        <f>IF(ISNUMBER(Datos!BX9),Datos!BX9," - ")</f>
        <v xml:space="preserve"> - </v>
      </c>
      <c r="AN9" s="243"/>
      <c r="AO9" s="260">
        <f>IF(ISNUMBER(((NºAsuntos!I9/NºAsuntos!G9)*11)/factor_trimestre),((NºAsuntos!I9/NºAsuntos!G9)*11)/factor_trimestre," - ")</f>
        <v>6.2198900549725131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6.6409881790410411E-3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114</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5</v>
      </c>
      <c r="AA10" s="332">
        <f>IF(ISNUMBER(Datos!L10),Datos!L10,"-")</f>
        <v>121</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16</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8.3448275862068968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0</v>
      </c>
      <c r="AA11" s="332" t="str">
        <f>IF(ISNUMBER(IF(J_V="SI",Datos!L11,Datos!L11+Datos!AB11)-IF(Monitorios="SI",Datos!CD11,0)),
                          IF(J_V="SI",Datos!L11,Datos!L11+Datos!AB11)-IF(Monitorios="SI",Datos!CD11,0),
                          " - ")</f>
        <v xml:space="preserve"> - </v>
      </c>
      <c r="AB11" s="334"/>
      <c r="AC11" s="334"/>
      <c r="AD11" s="484"/>
      <c r="AE11" s="484">
        <f>IF(ISNUMBER(Datos!R11),Datos!R11," - ")</f>
        <v>1</v>
      </c>
      <c r="AF11" s="229" t="str">
        <f>IF(ISNUMBER(Datos!BV11),Datos!BV11," - ")</f>
        <v xml:space="preserve"> - </v>
      </c>
      <c r="AG11" s="225" t="str">
        <f>IF(ISNUMBER(Datos!DV11),Datos!DV11," - ")</f>
        <v xml:space="preserve"> - </v>
      </c>
      <c r="AH11" s="298"/>
      <c r="AI11" s="227"/>
      <c r="AJ11" s="225">
        <f>IF(ISNUMBER(Datos!M11),Datos!M11," - ")</f>
        <v>48</v>
      </c>
      <c r="AK11" s="229">
        <f>IF(ISNUMBER(Datos!N11),Datos!N11," - ")</f>
        <v>92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2.5422222222222222</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114</v>
      </c>
      <c r="G13" s="898">
        <f>SUBTOTAL(9,G8:G12)</f>
        <v>114</v>
      </c>
      <c r="H13" s="908"/>
      <c r="I13" s="898">
        <f t="shared" ref="I13:N13" si="0">SUBTOTAL(9,I8:I12)</f>
        <v>0</v>
      </c>
      <c r="J13" s="867">
        <f t="shared" si="0"/>
        <v>0</v>
      </c>
      <c r="K13" s="908">
        <f t="shared" si="0"/>
        <v>0</v>
      </c>
      <c r="L13" s="908">
        <f t="shared" si="0"/>
        <v>0</v>
      </c>
      <c r="M13" s="908">
        <f t="shared" si="0"/>
        <v>0</v>
      </c>
      <c r="N13" s="908">
        <f t="shared" si="0"/>
        <v>469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421</v>
      </c>
      <c r="AA13" s="900">
        <f t="shared" si="2"/>
        <v>121</v>
      </c>
      <c r="AB13" s="900">
        <f t="shared" si="2"/>
        <v>0</v>
      </c>
      <c r="AC13" s="900">
        <f t="shared" si="2"/>
        <v>0</v>
      </c>
      <c r="AD13" s="900">
        <f t="shared" si="2"/>
        <v>0</v>
      </c>
      <c r="AE13" s="900">
        <f t="shared" si="2"/>
        <v>7598</v>
      </c>
      <c r="AF13" s="908">
        <f t="shared" si="2"/>
        <v>0</v>
      </c>
      <c r="AG13" s="908">
        <f t="shared" si="2"/>
        <v>0</v>
      </c>
      <c r="AH13" s="908">
        <f t="shared" si="2"/>
        <v>0</v>
      </c>
      <c r="AI13" s="908">
        <f t="shared" si="2"/>
        <v>0</v>
      </c>
      <c r="AJ13" s="908">
        <f t="shared" si="2"/>
        <v>546</v>
      </c>
      <c r="AK13" s="908">
        <f t="shared" si="2"/>
        <v>791</v>
      </c>
      <c r="AL13" s="908">
        <f t="shared" si="2"/>
        <v>0</v>
      </c>
      <c r="AM13" s="908">
        <f t="shared" si="2"/>
        <v>0</v>
      </c>
      <c r="AN13" s="908">
        <f t="shared" si="2"/>
        <v>0</v>
      </c>
      <c r="AO13" s="904">
        <f>IF(ISNUMBER(((NºAsuntos!I13/NºAsuntos!G13)*11)/factor_trimestre),((NºAsuntos!I13/NºAsuntos!G13)*11)/factor_trimestre," - ")</f>
        <v>5.8802660753880254</v>
      </c>
      <c r="AP13" s="910" t="str">
        <f>IF(ISNUMBER(Datos!CI13/Datos!CJ13),Datos!CI13/Datos!CJ13," - ")</f>
        <v xml:space="preserve"> - </v>
      </c>
      <c r="AQ13" s="928">
        <f t="shared" ref="AQ13:AV13" si="3">SUBTOTAL(9,AQ9:AQ12)</f>
        <v>0</v>
      </c>
      <c r="AR13" s="928">
        <f t="shared" si="3"/>
        <v>-0.1362161546781018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4811</v>
      </c>
      <c r="G15" s="225">
        <f>IF(ISNUMBER(IF(D_I="SI",Datos!I15,Datos!I15+Datos!AC15)),IF(D_I="SI",Datos!I15,Datos!I15+Datos!AC15)," - ")</f>
        <v>4774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3801</v>
      </c>
      <c r="Z15" s="619">
        <f>IF(ISNUMBER(Datos!Q15),Datos!Q15," - ")</f>
        <v>36</v>
      </c>
      <c r="AA15" s="332">
        <f>IF(ISNUMBER(IF(D_I="SI",Datos!L15,Datos!L15+Datos!AF15)),IF(D_I="SI",Datos!L15,Datos!L15+Datos!AF15)," - ")</f>
        <v>4927</v>
      </c>
      <c r="AB15" s="334"/>
      <c r="AC15" s="334"/>
      <c r="AD15" s="484"/>
      <c r="AE15" s="484">
        <f>IF(ISNUMBER(Datos!R15),Datos!R15," - ")</f>
        <v>303</v>
      </c>
      <c r="AF15" s="229" t="str">
        <f>IF(ISNUMBER(Datos!BV15),Datos!BV15," - ")</f>
        <v xml:space="preserve"> - </v>
      </c>
      <c r="AG15" s="225"/>
      <c r="AH15" s="298"/>
      <c r="AI15" s="227"/>
      <c r="AJ15" s="225">
        <f>IF(ISNUMBER(Datos!M15),Datos!M15," - ")</f>
        <v>525</v>
      </c>
      <c r="AK15" s="229">
        <f>IF(ISNUMBER(Datos!N15),Datos!N15," - ")</f>
        <v>2538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2.5924756642988687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399</v>
      </c>
      <c r="Z17" s="619">
        <f>IF(ISNUMBER(Datos!Q17),Datos!Q17," - ")</f>
        <v>5</v>
      </c>
      <c r="AA17" s="332">
        <f>IF(ISNUMBER(Datos!L17),Datos!L17,"-")</f>
        <v>294</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55</v>
      </c>
      <c r="AK17" s="229">
        <f>IF(ISNUMBER(Datos!N17),Datos!N17," - ")</f>
        <v>233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1.4736842105263157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4811</v>
      </c>
      <c r="G18" s="898">
        <f>SUBTOTAL(9,G15:G17)</f>
        <v>5022</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4200</v>
      </c>
      <c r="Z18" s="932">
        <f t="shared" si="5"/>
        <v>41</v>
      </c>
      <c r="AA18" s="932">
        <f t="shared" si="5"/>
        <v>5221</v>
      </c>
      <c r="AB18" s="932">
        <f t="shared" si="5"/>
        <v>0</v>
      </c>
      <c r="AC18" s="932">
        <f t="shared" si="5"/>
        <v>0</v>
      </c>
      <c r="AD18" s="932">
        <f t="shared" si="5"/>
        <v>0</v>
      </c>
      <c r="AE18" s="932">
        <f t="shared" si="5"/>
        <v>313</v>
      </c>
      <c r="AF18" s="932">
        <f t="shared" si="5"/>
        <v>0</v>
      </c>
      <c r="AG18" s="932">
        <f t="shared" si="5"/>
        <v>0</v>
      </c>
      <c r="AH18" s="932">
        <f t="shared" si="5"/>
        <v>0</v>
      </c>
      <c r="AI18" s="932">
        <f t="shared" si="5"/>
        <v>0</v>
      </c>
      <c r="AJ18" s="932">
        <f t="shared" si="5"/>
        <v>580</v>
      </c>
      <c r="AK18" s="932">
        <f t="shared" si="5"/>
        <v>2771</v>
      </c>
      <c r="AL18" s="932">
        <f t="shared" si="5"/>
        <v>0</v>
      </c>
      <c r="AM18" s="932">
        <f t="shared" si="5"/>
        <v>0</v>
      </c>
      <c r="AN18" s="932">
        <f t="shared" si="5"/>
        <v>0</v>
      </c>
      <c r="AO18" s="934">
        <f>IF(ISNUMBER(((NºAsuntos!I18/NºAsuntos!G18)*11)/factor_trimestre),((NºAsuntos!I18/NºAsuntos!G18)*11)/factor_trimestre," - ")</f>
        <v>2.4861904761904761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4925</v>
      </c>
      <c r="G19" s="820">
        <f t="shared" si="7"/>
        <v>5136</v>
      </c>
      <c r="H19" s="821">
        <f t="shared" si="7"/>
        <v>0</v>
      </c>
      <c r="I19" s="820">
        <f t="shared" si="7"/>
        <v>0</v>
      </c>
      <c r="J19" s="822">
        <f t="shared" si="7"/>
        <v>0</v>
      </c>
      <c r="K19" s="820">
        <f t="shared" si="7"/>
        <v>0</v>
      </c>
      <c r="L19" s="823">
        <f t="shared" si="7"/>
        <v>0</v>
      </c>
      <c r="M19" s="820">
        <f t="shared" si="7"/>
        <v>0</v>
      </c>
      <c r="N19" s="821">
        <f t="shared" si="7"/>
        <v>570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4229</v>
      </c>
      <c r="Z19" s="827">
        <f t="shared" si="8"/>
        <v>462</v>
      </c>
      <c r="AA19" s="828">
        <f t="shared" si="8"/>
        <v>5342</v>
      </c>
      <c r="AB19" s="828">
        <f t="shared" si="8"/>
        <v>0</v>
      </c>
      <c r="AC19" s="828">
        <f t="shared" si="8"/>
        <v>0</v>
      </c>
      <c r="AD19" s="829">
        <f t="shared" si="8"/>
        <v>0</v>
      </c>
      <c r="AE19" s="829">
        <f t="shared" si="8"/>
        <v>7911</v>
      </c>
      <c r="AF19" s="830">
        <f t="shared" si="8"/>
        <v>0</v>
      </c>
      <c r="AG19" s="831">
        <f t="shared" si="8"/>
        <v>0</v>
      </c>
      <c r="AH19" s="832">
        <f t="shared" si="8"/>
        <v>0</v>
      </c>
      <c r="AI19" s="830">
        <f t="shared" si="8"/>
        <v>0</v>
      </c>
      <c r="AJ19" s="820">
        <f t="shared" si="8"/>
        <v>1126</v>
      </c>
      <c r="AK19" s="820">
        <f t="shared" si="8"/>
        <v>3562</v>
      </c>
      <c r="AL19" s="820">
        <f t="shared" si="8"/>
        <v>0</v>
      </c>
      <c r="AM19" s="833">
        <f t="shared" si="8"/>
        <v>0</v>
      </c>
      <c r="AN19" s="823">
        <f>IF(ISNUMBER(Datos!K19/Datos!J19),Datos!K19/Datos!J19," - ")</f>
        <v>0.91226048119867453</v>
      </c>
      <c r="AO19" s="823">
        <f>IF(ISNUMBER(FIND("06",Criterios!A8,1)),(IF(ISNUMBER(((Datos!R19/Datos!Q19)*11)/factor_trimestre),((Datos!R19/Datos!Q19)*11)/factor_trimestre," - ")),(IF(ISNUMBER(((Datos!L19/Datos!K19)*11)/factor_trimestre),((Datos!L19/Datos!K19)*11)/factor_trimestre," - ")))</f>
        <v>3.694567277321541</v>
      </c>
      <c r="AP19" s="834" t="str">
        <f>IF(ISNUMBER(Datos!CI19/Datos!CJ19),Datos!CI19/Datos!CJ19," - ")</f>
        <v xml:space="preserve"> - </v>
      </c>
      <c r="AQ19" s="834">
        <f>IF(OR(ISNUMBER(FIND("01",Criterios!A8,1)),ISNUMBER(FIND("02",Criterios!A8,1)),ISNUMBER(FIND("03",Criterios!A8,1)),ISNUMBER(FIND("04",Criterios!A8,1))),(J19-Y19+K19)/(F19-K19),(I19-Y19+K19)/(F19-K19))</f>
        <v>-0.85868020304568526</v>
      </c>
      <c r="AR19" s="834">
        <f>IF(ISNUMBER((Datos!P19-Datos!Q19+O19)/(Datos!R19-Datos!P19+Datos!Q19-O19)),(Datos!P19-Datos!Q19+O19)/(Datos!R19-Datos!P19+Datos!Q19-O19)," - ")</f>
        <v>1.384083044982699E-2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2054.4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2711.8142143836722</v>
      </c>
      <c r="G21" s="552">
        <f>IF(ISNUMBER(STDEV(G8:G18)),STDEV(G8:G18),"-")</f>
        <v>2597.8962257950179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265.69074396480471</v>
      </c>
      <c r="AK21" s="252"/>
      <c r="AL21" s="252">
        <f>IF(ISNUMBER(STDEV(AL8:AL18)),STDEV(AL8:AL18),"-")</f>
        <v>0</v>
      </c>
      <c r="AM21" s="254">
        <f>IF(ISNUMBER(STDEV(AM8:AM18)),STDEV(AM8:AM18),"-")</f>
        <v>0</v>
      </c>
      <c r="AN21" s="539">
        <f>IF(ISNUMBER(STDEV(AN8:AN18)),STDEV(AN8:AN18),"-")</f>
        <v>0</v>
      </c>
      <c r="AO21" s="540">
        <f>IF(ISNUMBER(STDEV(AO8:AO18)),STDEV(AO8:AO18),"-")</f>
        <v>2.5749552059579477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jENdYZiD2d7M2k18GN+01CvtJevyNiea3PYRhtpnC+bb7uLHmrNADzd+QlzJYnEobrY5PBXurMb1PEUN8bLOg==" saltValue="zHtLsM11N7iWjOl4vqyn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39vuC2GIlOFdSfnT/0V1z0049q0ToK8eLPOIzCX4E8kIX/p7iEKHoajeEE6+8v6OEIkdtFZnjz/VvpzwqHv5A==" saltValue="4zPiDZ5+HbzZu0yXuFuk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dMXvdLkDPjhG0Nfi3w5jAyJswt7EQCTQU2UxleMqbwOmAj77VDpxo+Na8cLJ/0Cw38vtkBvnRh36F0fu19A9A==" saltValue="slbxYwLBc5LuMq8RLbSh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0.24212860310421286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0.17121077717421507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YqLNZ6iwfpARsGmEWZbyH6JHfpfHPl2IjpwZXKnZgSURL4+uJuw9ZiK5eWK/dPGkKRlmdAoyABTkELyTEvOLw==" saltValue="cCmke3kSzXZl4imLkS9Q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XQp/bfM/SKYn4Pnfnfe+ruJAbAeLYudQQ2PZDCIif4gGZCEgdSmBiCLqV86Ma8GhtGmg10UhxW4cyEUy0LzQ==" saltValue="Lzdr0Rfq+wnOnbebe3ns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EIVISSA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5895</v>
      </c>
      <c r="D9" s="404">
        <f>IF(ISNUMBER(C9/Datos!BH9),C9/Datos!BH9," - ")</f>
        <v>1179</v>
      </c>
      <c r="E9" s="403">
        <f>IF(ISNUMBER(IF(J_V="SI",Datos!J9,Datos!J9+Datos!Z9)),IF(J_V="SI",Datos!J9,Datos!J9+Datos!Z9)," - ")</f>
        <v>2326</v>
      </c>
      <c r="F9" s="404">
        <f>IF(ISNUMBER(E9/B9),E9/B9," - ")</f>
        <v>465.2</v>
      </c>
      <c r="G9" s="403">
        <f>IF(ISNUMBER(IF(J_V="SI",Datos!K9,Datos!K9+Datos!AA9)),IF(J_V="SI",Datos!K9,Datos!K9+Datos!AA9)," - ")</f>
        <v>2001</v>
      </c>
      <c r="H9" s="404">
        <f>IF(ISNUMBER(G9/B9),G9/B9," - ")</f>
        <v>400.2</v>
      </c>
      <c r="I9" s="403">
        <f>IF(ISNUMBER(IF(J_V="SI",Datos!L9,Datos!L9+Datos!AB9)),IF(J_V="SI",Datos!L9,Datos!L9+Datos!AB9)," - ")</f>
        <v>6223</v>
      </c>
      <c r="J9" s="404">
        <f>IF(ISNUMBER(I9/B9),I9/B9," - ")</f>
        <v>1244.5999999999999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114</v>
      </c>
      <c r="D10" s="404">
        <f>IF(ISNUMBER(C10/Datos!BH10),C10/Datos!BH10," - ")</f>
        <v>114</v>
      </c>
      <c r="E10" s="403">
        <f>IF(ISNUMBER(Datos!J10),Datos!J10," - ")</f>
        <v>36</v>
      </c>
      <c r="F10" s="404">
        <f>IF(ISNUMBER(E10/B10),E10/B10," - ")</f>
        <v>36</v>
      </c>
      <c r="G10" s="403">
        <f>IF(ISNUMBER(Datos!K10),Datos!K10," - ")</f>
        <v>29</v>
      </c>
      <c r="H10" s="404">
        <f>IF(ISNUMBER(G10/B10),G10/B10," - ")</f>
        <v>29</v>
      </c>
      <c r="I10" s="403">
        <f>IF(ISNUMBER(Datos!L10),Datos!L10," - ")</f>
        <v>121</v>
      </c>
      <c r="J10" s="404">
        <f>IF(ISNUMBER(I10/B10),I10/B10," - ")</f>
        <v>121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189</v>
      </c>
      <c r="D11" s="404" t="str">
        <f>IF(ISNUMBER(C11/Datos!BH11),C11/Datos!BH11," - ")</f>
        <v xml:space="preserve"> - </v>
      </c>
      <c r="E11" s="403">
        <f>IF(ISNUMBER(IF(J_V="SI",Datos!J11,Datos!J11+Datos!Z11)),IF(J_V="SI",Datos!J11,Datos!J11+Datos!Z11)," - ")</f>
        <v>322</v>
      </c>
      <c r="F11" s="404">
        <f>IF(ISNUMBER(E11/B11),E11/B11," - ")</f>
        <v>322</v>
      </c>
      <c r="G11" s="403">
        <f>IF(ISNUMBER(IF(J_V="SI",Datos!K11,Datos!K11+Datos!AA11)),IF(J_V="SI",Datos!K11,Datos!K11+Datos!AA11)," - ")</f>
        <v>225</v>
      </c>
      <c r="H11" s="404">
        <f>IF(ISNUMBER(G11/B11),G11/B11," - ")</f>
        <v>225</v>
      </c>
      <c r="I11" s="403">
        <f>IF(ISNUMBER(IF(J_V="SI",Datos!L11,Datos!L11+Datos!AB11)),IF(J_V="SI",Datos!L11,Datos!L11+Datos!AB11)," - ")</f>
        <v>286</v>
      </c>
      <c r="J11" s="404">
        <f>IF(ISNUMBER(I11/B11),I11/B11," - ")</f>
        <v>286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6198</v>
      </c>
      <c r="D13" s="850" t="str">
        <f>IF(ISNUMBER(C13/Datos!BI13),C13/Datos!BI13," - ")</f>
        <v xml:space="preserve"> - </v>
      </c>
      <c r="E13" s="849">
        <f>SUBTOTAL(9,E8:E12)</f>
        <v>2684</v>
      </c>
      <c r="F13" s="850">
        <f>IF(ISNUMBER(E13/B13),E13/B13," - ")</f>
        <v>383.42857142857144</v>
      </c>
      <c r="G13" s="849">
        <f>SUBTOTAL(9,G8:G12)</f>
        <v>2255</v>
      </c>
      <c r="H13" s="850">
        <f>IF(ISNUMBER(G13/B13),G13/B13," - ")</f>
        <v>322.14285714285717</v>
      </c>
      <c r="I13" s="849">
        <f>SUBTOTAL(9,I8:I12)</f>
        <v>6630</v>
      </c>
      <c r="J13" s="850">
        <f>IF(ISNUMBER(I13/B13),I13/B13," - ")</f>
        <v>947.14285714285711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4774</v>
      </c>
      <c r="D15" s="404">
        <f>IF(ISNUMBER(C15/Datos!BH15),C15/Datos!BH15," - ")</f>
        <v>1193.5</v>
      </c>
      <c r="E15" s="403">
        <f>IF(ISNUMBER(IF(D_I="SI",Datos!J15,Datos!J15+Datos!AD15)),IF(D_I="SI",Datos!J15,Datos!J15+Datos!AD15)," - ")</f>
        <v>3917</v>
      </c>
      <c r="F15" s="404">
        <f>IF(ISNUMBER(E15/B15),E15/B15," - ")</f>
        <v>979.25</v>
      </c>
      <c r="G15" s="403">
        <f>IF(ISNUMBER(IF(D_I="SI",Datos!K15,Datos!K15+Datos!AE15)),IF(D_I="SI",Datos!K15,Datos!K15+Datos!AE15)," - ")</f>
        <v>3801</v>
      </c>
      <c r="H15" s="404">
        <f>IF(ISNUMBER(G15/B15),G15/B15," - ")</f>
        <v>950.25</v>
      </c>
      <c r="I15" s="403">
        <f>IF(ISNUMBER(IF(D_I="SI",Datos!L15,Datos!L15+Datos!AF15)),IF(D_I="SI",Datos!L15,Datos!L15+Datos!AF15)," - ")</f>
        <v>4927</v>
      </c>
      <c r="J15" s="404">
        <f>IF(ISNUMBER(I15/B15),I15/B15," - ")</f>
        <v>1231.75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248</v>
      </c>
      <c r="D17" s="404">
        <f>IF(ISNUMBER(C17/Datos!BH17),C17/Datos!BH17," - ")</f>
        <v>248</v>
      </c>
      <c r="E17" s="403">
        <f>IF(ISNUMBER(IF(D_I="SI",Datos!J17,Datos!J17+Datos!AD17)),IF(D_I="SI",Datos!J17,Datos!J17+Datos!AD17)," - ")</f>
        <v>445</v>
      </c>
      <c r="F17" s="404">
        <f>IF(ISNUMBER(E17/B17),E17/B17," - ")</f>
        <v>445</v>
      </c>
      <c r="G17" s="403">
        <f>IF(ISNUMBER(IF(D_I="SI",Datos!K17,Datos!K17+Datos!AE17)),IF(D_I="SI",Datos!K17,Datos!K17+Datos!AE17)," - ")</f>
        <v>399</v>
      </c>
      <c r="H17" s="404">
        <f>IF(ISNUMBER(G17/B17),G17/B17," - ")</f>
        <v>399</v>
      </c>
      <c r="I17" s="403">
        <f>IF(ISNUMBER(IF(D_I="SI",Datos!L17,Datos!L17+Datos!AF17)),IF(D_I="SI",Datos!L17,Datos!L17+Datos!AF17)," - ")</f>
        <v>294</v>
      </c>
      <c r="J17" s="404">
        <f>IF(ISNUMBER(I17/B17),I17/B17," - ")</f>
        <v>294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5022</v>
      </c>
      <c r="D18" s="850" t="str">
        <f>IF(ISNUMBER(C18/Datos!BI18),C18/Datos!BI18," - ")</f>
        <v xml:space="preserve"> - </v>
      </c>
      <c r="E18" s="849">
        <f>SUBTOTAL(9,E14:E17)</f>
        <v>4362</v>
      </c>
      <c r="F18" s="850">
        <f>IF(ISNUMBER(E18/B18),E18/B18," - ")</f>
        <v>872.4</v>
      </c>
      <c r="G18" s="849">
        <f>SUBTOTAL(9,G14:G17)</f>
        <v>4200</v>
      </c>
      <c r="H18" s="850">
        <f>IF(ISNUMBER(G18/B18),G18/B18," - ")</f>
        <v>840</v>
      </c>
      <c r="I18" s="849">
        <f>SUBTOTAL(9,I14:I17)</f>
        <v>5221</v>
      </c>
      <c r="J18" s="850">
        <f>IF(ISNUMBER(I18/B18),I18/B18," - ")</f>
        <v>1044.2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11220</v>
      </c>
      <c r="D19" s="795" t="str">
        <f>IF(ISNUMBER(C19/Datos!BI19),C19/Datos!BI19," - ")</f>
        <v xml:space="preserve"> - </v>
      </c>
      <c r="E19" s="794">
        <f>SUBTOTAL(9,E9:E18)</f>
        <v>7046</v>
      </c>
      <c r="F19" s="795">
        <f>IF(ISNUMBER(E19/B19),E19/B19," - ")</f>
        <v>640.5454545454545</v>
      </c>
      <c r="G19" s="794">
        <f>SUBTOTAL(9,G9:G18)</f>
        <v>6455</v>
      </c>
      <c r="H19" s="795">
        <f>IF(ISNUMBER(G19/B19),G19/B19," - ")</f>
        <v>586.81818181818187</v>
      </c>
      <c r="I19" s="794">
        <f>SUBTOTAL(9,I9:I18)</f>
        <v>11851</v>
      </c>
      <c r="J19" s="795">
        <f>IF(ISNUMBER(I19/B19),I19/B19," - ")</f>
        <v>1077.3636363636363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Nw+errGCHhFDAPEXDrOcXycKZAg7k2uRwLiV9vtkKhKJnDExzEi1coDIb3BuUVEMqjqt8d4HPknpYbbjDMlqg==" saltValue="V7pYPaxZ3vx8AbqaS7CE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EIVISSA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114</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121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8.3448275862068968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114</v>
      </c>
      <c r="G13" s="938">
        <f t="shared" si="0"/>
        <v>114</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0</v>
      </c>
      <c r="AE13" s="939">
        <f t="shared" si="1"/>
        <v>0</v>
      </c>
      <c r="AF13" s="939">
        <f t="shared" si="1"/>
        <v>121</v>
      </c>
      <c r="AG13" s="939">
        <f t="shared" si="1"/>
        <v>0</v>
      </c>
      <c r="AH13" s="939">
        <f t="shared" si="1"/>
        <v>0</v>
      </c>
      <c r="AI13" s="939">
        <f t="shared" si="1"/>
        <v>0</v>
      </c>
      <c r="AJ13" s="939">
        <f t="shared" si="1"/>
        <v>0</v>
      </c>
      <c r="AK13" s="939">
        <f t="shared" si="1"/>
        <v>0</v>
      </c>
      <c r="AL13" s="939">
        <f t="shared" si="1"/>
        <v>16</v>
      </c>
      <c r="AM13" s="939">
        <f t="shared" si="1"/>
        <v>7</v>
      </c>
      <c r="AN13" s="939">
        <f t="shared" si="1"/>
        <v>0</v>
      </c>
      <c r="AO13" s="939">
        <f t="shared" si="1"/>
        <v>0</v>
      </c>
      <c r="AP13" s="944">
        <f>IF(ISNUMBER(((Datos!L13/Datos!K13)*11)/factor_trimestre),((Datos!L13/Datos!K13)*11)/factor_trimestre," - ")</f>
        <v>6.0750469043151973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-0.25438596491228072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2.4861904761904761</v>
      </c>
      <c r="AQ18" s="944">
        <f>IF(ISNUMBER(((Datos!M18/Datos!L18)*11)/factor_trimestre),((Datos!M18/Datos!L18)*11)/factor_trimestre," - ")</f>
        <v>0.22217965906914383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0.23715415019762845</v>
      </c>
      <c r="AW18" s="946">
        <f>IF(ISNUMBER((Datos!Q18-Datos!R18)/(Datos!S18-Datos!Q18+Datos!R18)),(Datos!Q18-Datos!R18)/(Datos!S18-Datos!Q18+Datos!R18)," - ")</f>
        <v>-5.6654863570089566E-2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114</v>
      </c>
      <c r="G19" s="951">
        <f t="shared" si="4"/>
        <v>114</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0</v>
      </c>
      <c r="AE19" s="957">
        <f t="shared" si="5"/>
        <v>0</v>
      </c>
      <c r="AF19" s="958">
        <f t="shared" si="5"/>
        <v>121</v>
      </c>
      <c r="AG19" s="958">
        <f t="shared" si="5"/>
        <v>0</v>
      </c>
      <c r="AH19" s="958">
        <f t="shared" si="5"/>
        <v>0</v>
      </c>
      <c r="AI19" s="958">
        <f t="shared" si="5"/>
        <v>0</v>
      </c>
      <c r="AJ19" s="959">
        <f t="shared" si="5"/>
        <v>0</v>
      </c>
      <c r="AK19" s="959">
        <f t="shared" si="5"/>
        <v>0</v>
      </c>
      <c r="AL19" s="951">
        <f t="shared" si="5"/>
        <v>16</v>
      </c>
      <c r="AM19" s="951">
        <f t="shared" si="5"/>
        <v>7</v>
      </c>
      <c r="AN19" s="951">
        <f t="shared" si="5"/>
        <v>0</v>
      </c>
      <c r="AO19" s="951">
        <f t="shared" si="5"/>
        <v>0</v>
      </c>
      <c r="AP19" s="951">
        <f>IF(ISNUMBER(((Datos!L19/Datos!K19)*11)/factor_trimestre),((Datos!L19/Datos!K19)*11)/factor_trimestre," - ")</f>
        <v>3.694567277321541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-0.25438596491228072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1.384083044982699E-2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65.817930687617334</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2.9539641047368423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kITC18V/1nEKW7mONWaRVI5LbLV6KTwqgAQwHnPja3W2Jm8vODeNjEFxWx7PlCjQw24Okns4L150ecKs0D5g==" saltValue="nG3NKYKkzd5F3iNMu4IU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EIVISSA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jViM80mgT1sXgLWIJE4+EInzhLx/oqUf/6UD3SUZLnMkKhIOglGb5RyWC/79+nn6OwkLHXGKNris+7feDHvHg==" saltValue="Ucq07NBuyU1rH0u79A9X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EIVISSA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482</v>
      </c>
      <c r="E9" s="404">
        <f t="shared" ref="E9:E13" si="0">IF(ISNUMBER(D9/B9),D9/B9," - ")</f>
        <v>96.4</v>
      </c>
      <c r="F9" s="403">
        <f>IF(ISNUMBER(Datos!N9),Datos!N9," - ")</f>
        <v>692</v>
      </c>
      <c r="G9" s="404">
        <f t="shared" ref="G9:G13" si="1">IF(ISNUMBER(F9/B9),F9/B9," - ")</f>
        <v>138.4</v>
      </c>
      <c r="H9" s="403">
        <f>IF(ISNUMBER(Datos!O9),Datos!O9," - ")</f>
        <v>903</v>
      </c>
      <c r="I9" s="404">
        <f>IF(ISNUMBER(H9/B9),H9/B9," - ")</f>
        <v>180.6</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7</v>
      </c>
      <c r="G10" s="404">
        <f>IF(ISNUMBER(F10/B10),F10/B10," - ")</f>
        <v>7</v>
      </c>
      <c r="H10" s="403">
        <f>IF(ISNUMBER(Datos!O10),Datos!O10," - ")</f>
        <v>7</v>
      </c>
      <c r="I10" s="404">
        <f t="shared" ref="I10:I12" si="2">IF(ISNUMBER(H10/B10),H10/B10," - ")</f>
        <v>7</v>
      </c>
      <c r="BZ10" s="1186">
        <f>Datos!EZ10</f>
        <v>0</v>
      </c>
    </row>
    <row r="11" spans="1:78">
      <c r="A11" s="402" t="str">
        <f>Datos!A11</f>
        <v xml:space="preserve">Jdos. Familia                                   </v>
      </c>
      <c r="B11" s="427">
        <f>Datos!AO11</f>
        <v>1</v>
      </c>
      <c r="C11" s="410">
        <f>Datos!AQ11</f>
        <v>1</v>
      </c>
      <c r="D11" s="403">
        <f>IF(ISNUMBER(Datos!M11),Datos!M11," - ")</f>
        <v>48</v>
      </c>
      <c r="E11" s="404">
        <f t="shared" si="0"/>
        <v>48</v>
      </c>
      <c r="F11" s="403">
        <f>IF(ISNUMBER(Datos!N11),Datos!N11," - ")</f>
        <v>92</v>
      </c>
      <c r="G11" s="404">
        <f t="shared" si="1"/>
        <v>92</v>
      </c>
      <c r="H11" s="403">
        <f>IF(ISNUMBER(Datos!O11),Datos!O11," - ")</f>
        <v>8</v>
      </c>
      <c r="I11" s="404">
        <f t="shared" si="2"/>
        <v>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546</v>
      </c>
      <c r="E13" s="850">
        <f t="shared" si="0"/>
        <v>78</v>
      </c>
      <c r="F13" s="849">
        <f>SUBTOTAL(9,F9:F12)</f>
        <v>791</v>
      </c>
      <c r="G13" s="850">
        <f t="shared" si="1"/>
        <v>113</v>
      </c>
      <c r="H13" s="849">
        <f>SUBTOTAL(9,H9:H12)</f>
        <v>918</v>
      </c>
      <c r="I13" s="850">
        <f>IF(ISNUMBER(H13/B13),H13/B13," - ")</f>
        <v>131.14285714285714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525</v>
      </c>
      <c r="E15" s="404">
        <f t="shared" ref="E15:E18" si="3">IF(ISNUMBER(D15/B15),D15/B15," - ")</f>
        <v>131.25</v>
      </c>
      <c r="F15" s="403">
        <f>IF(ISNUMBER(Datos!N15),Datos!N15," - ")</f>
        <v>2538</v>
      </c>
      <c r="G15" s="404">
        <f t="shared" ref="G15:G18" si="4">IF(ISNUMBER(F15/B15),F15/B15," - ")</f>
        <v>634.5</v>
      </c>
      <c r="H15" s="403">
        <f>IF(ISNUMBER(Datos!O15),Datos!O15," - ")</f>
        <v>18</v>
      </c>
      <c r="I15" s="404">
        <f t="shared" ref="I15:I17" si="5">IF(ISNUMBER(H15/B15),H15/B15," - ")</f>
        <v>4.5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55</v>
      </c>
      <c r="E17" s="404">
        <f>IF(ISNUMBER(D17/B17),D17/B17," - ")</f>
        <v>55</v>
      </c>
      <c r="F17" s="403">
        <f>IF(ISNUMBER(Datos!N17),Datos!N17," - ")</f>
        <v>233</v>
      </c>
      <c r="G17" s="404">
        <f>IF(ISNUMBER(F17/B17),F17/B17," - ")</f>
        <v>233</v>
      </c>
      <c r="H17" s="403">
        <f>IF(ISNUMBER(Datos!O17),Datos!O17," - ")</f>
        <v>4</v>
      </c>
      <c r="I17" s="404">
        <f t="shared" si="5"/>
        <v>4</v>
      </c>
      <c r="BZ17" s="1186">
        <f>Datos!EZ17</f>
        <v>0</v>
      </c>
    </row>
    <row r="18" spans="1:78" ht="14.25" thickTop="1" thickBot="1">
      <c r="A18" s="848" t="str">
        <f>Datos!A18</f>
        <v>TOTAL</v>
      </c>
      <c r="B18" s="849">
        <f>Datos!AP18</f>
        <v>5</v>
      </c>
      <c r="C18" s="851">
        <f>Datos!AR18</f>
        <v>5</v>
      </c>
      <c r="D18" s="849">
        <f>SUBTOTAL(9,D15:D17)</f>
        <v>580</v>
      </c>
      <c r="E18" s="850">
        <f t="shared" si="3"/>
        <v>116</v>
      </c>
      <c r="F18" s="849">
        <f>SUBTOTAL(9,F15:F17)</f>
        <v>2771</v>
      </c>
      <c r="G18" s="850">
        <f t="shared" si="4"/>
        <v>554.20000000000005</v>
      </c>
      <c r="H18" s="849">
        <f>SUBTOTAL(9,H15:H17)</f>
        <v>22</v>
      </c>
      <c r="I18" s="850">
        <f>IF(ISNUMBER(H18/B18),H18/B18," - ")</f>
        <v>4.4000000000000004</v>
      </c>
      <c r="BZ18" s="1186"/>
    </row>
    <row r="19" spans="1:78" ht="14.25" thickTop="1" thickBot="1">
      <c r="A19" s="793" t="str">
        <f>Datos!A19</f>
        <v>TOTAL JURISDICCIONES</v>
      </c>
      <c r="B19" s="794">
        <f>Datos!AP19</f>
        <v>11</v>
      </c>
      <c r="C19" s="794">
        <f>Datos!AR19</f>
        <v>11</v>
      </c>
      <c r="D19" s="794">
        <f>SUBTOTAL(9,D8:D18)</f>
        <v>1126</v>
      </c>
      <c r="E19" s="795">
        <f>IF(ISNUMBER(D19/B19),D19/B19," - ")</f>
        <v>102.36363636363636</v>
      </c>
      <c r="F19" s="794">
        <f>SUBTOTAL(9,F8:F18)</f>
        <v>3562</v>
      </c>
      <c r="G19" s="795">
        <f>IF(ISNUMBER(F19/B19),F19/B19," - ")</f>
        <v>323.81818181818181</v>
      </c>
      <c r="H19" s="794">
        <f>SUBTOTAL(9,H8:H18)</f>
        <v>940</v>
      </c>
      <c r="I19" s="795">
        <f>IF(ISNUMBER(H19/B19),H19/B19," - ")</f>
        <v>85.454545454545453</v>
      </c>
    </row>
    <row r="22" spans="1:78">
      <c r="A22" s="391" t="str">
        <f>Criterios!A4</f>
        <v>Fecha Informe: 29 nov. 2024</v>
      </c>
    </row>
    <row r="27" spans="1:78">
      <c r="A27" s="414"/>
    </row>
  </sheetData>
  <sheetProtection algorithmName="SHA-512" hashValue="e6BRnRJXyLI5uzmQd4M8PJw8QcrycbDwr/q3Rz7pXK2h/5a79nrqT4y/9Y3o51NrcSZhaOOurDNHMiur+CSw7Q==" saltValue="1dQIiXBf83kco0fZgSh2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EIVISSA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466</v>
      </c>
      <c r="C9" s="434">
        <f>IF(ISNUMBER(Datos!Q9),Datos!Q9," - ")</f>
        <v>416</v>
      </c>
      <c r="D9" s="408">
        <f>IF(ISNUMBER(Datos!R9),Datos!R9," - ")</f>
        <v>7579</v>
      </c>
    </row>
    <row r="10" spans="1:4">
      <c r="A10" s="402" t="str">
        <f>Datos!A10</f>
        <v>Jdos. Violencia contra la mujer</v>
      </c>
      <c r="B10" s="433">
        <f>IF(ISNUMBER(Datos!P10),Datos!P10," - ")</f>
        <v>2</v>
      </c>
      <c r="C10" s="434">
        <f>IF(ISNUMBER(Datos!Q10),Datos!Q10," - ")</f>
        <v>5</v>
      </c>
      <c r="D10" s="408">
        <f>IF(ISNUMBER(Datos!R10),Datos!R10," - ")</f>
        <v>18</v>
      </c>
    </row>
    <row r="11" spans="1:4">
      <c r="A11" s="402" t="str">
        <f>Datos!A11</f>
        <v xml:space="preserve">Jdos. Familia                                   </v>
      </c>
      <c r="B11" s="433">
        <f>IF(ISNUMBER(Datos!P11),Datos!P11," - ")</f>
        <v>1</v>
      </c>
      <c r="C11" s="434">
        <f>IF(ISNUMBER(Datos!Q11),Datos!Q11," - ")</f>
        <v>0</v>
      </c>
      <c r="D11" s="408">
        <f>IF(ISNUMBER(Datos!R11),Datos!R11," - ")</f>
        <v>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469</v>
      </c>
      <c r="C13" s="853">
        <f>SUBTOTAL(9,C9:C12)</f>
        <v>421</v>
      </c>
      <c r="D13" s="851">
        <f>SUBTOTAL(9,D9:D12)</f>
        <v>7598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98</v>
      </c>
      <c r="C15" s="434">
        <f>IF(ISNUMBER(Datos!Q15),Datos!Q15," - ")</f>
        <v>36</v>
      </c>
      <c r="D15" s="408">
        <f>IF(ISNUMBER(Datos!R15),Datos!R15," - ")</f>
        <v>303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5</v>
      </c>
      <c r="D17" s="408">
        <f>IF(ISNUMBER(Datos!R17),Datos!R17," - ")</f>
        <v>10</v>
      </c>
    </row>
    <row r="18" spans="1:4" ht="14.25" thickTop="1" thickBot="1">
      <c r="A18" s="848" t="str">
        <f>Datos!A18</f>
        <v>TOTAL</v>
      </c>
      <c r="B18" s="849">
        <f>SUBTOTAL(9,B15:B17)</f>
        <v>101</v>
      </c>
      <c r="C18" s="853">
        <f>SUBTOTAL(9,C15:C17)</f>
        <v>41</v>
      </c>
      <c r="D18" s="851">
        <f>SUBTOTAL(9,D15:D17)</f>
        <v>313</v>
      </c>
    </row>
    <row r="19" spans="1:4" ht="16.5" customHeight="1" thickTop="1" thickBot="1">
      <c r="A19" s="793" t="str">
        <f>Datos!A19</f>
        <v>TOTAL JURISDICCIONES</v>
      </c>
      <c r="B19" s="798">
        <f>SUBTOTAL(9,B8:B18)</f>
        <v>570</v>
      </c>
      <c r="C19" s="799">
        <f>SUBTOTAL(9,C8:C18)</f>
        <v>462</v>
      </c>
      <c r="D19" s="800">
        <f>SUBTOTAL(9,D8:D18)</f>
        <v>7911</v>
      </c>
    </row>
    <row r="20" spans="1:4" ht="7.5" customHeight="1"/>
    <row r="21" spans="1:4" ht="6" customHeight="1"/>
    <row r="22" spans="1:4">
      <c r="A22" s="391" t="str">
        <f>Criterios!A4</f>
        <v>Fecha Informe: 29 nov. 2024</v>
      </c>
    </row>
    <row r="27" spans="1:4">
      <c r="A27" s="414"/>
    </row>
  </sheetData>
  <sheetProtection algorithmName="SHA-512" hashValue="4HkcJBAbkJ6Q5DQ++68GIBzQrji8CbWZz9VJ8BHqHqg2b1qwu2/UPTvXVjFd9jccs+aXAc6QYh97vp1kwZ06DA==" saltValue="NzoGbImk4Uu84E5xu3Ol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EIVISSA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-3.0268136206612929E-2</v>
      </c>
      <c r="C9" s="456">
        <f>IF(ISNUMBER(
   IF(J_V="SI",(Datos!J9-Datos!T9)/Datos!T9,(Datos!J9+Datos!Z9-(Datos!T9+Datos!AH9))/(Datos!T9+Datos!AH9))
     ),IF(J_V="SI",(Datos!J9-Datos!T9)/Datos!T9,(Datos!J9+Datos!Z9-(Datos!T9+Datos!AH9))/(Datos!T9+Datos!AH9))," - ")</f>
        <v>0.14864197530864198</v>
      </c>
      <c r="D9" s="456">
        <f>IF(ISNUMBER(
   IF(J_V="SI",(Datos!K9-Datos!U9)/Datos!U9,(Datos!K9+Datos!AA9-(Datos!U9+Datos!AI9))/(Datos!U9+Datos!AI9))
     ),IF(J_V="SI",(Datos!K9-Datos!U9)/Datos!U9,(Datos!K9+Datos!AA9-(Datos!U9+Datos!AI9))/(Datos!U9+Datos!AI9))," - ")</f>
        <v>0.16676384839650146</v>
      </c>
      <c r="E9" s="456">
        <f>IF(ISNUMBER(
   IF(J_V="SI",(Datos!L9-Datos!V9)/Datos!V9,(Datos!L9+Datos!AB9-(Datos!V9+Datos!AJ9))/(Datos!V9+Datos!AJ9))
     ),IF(J_V="SI",(Datos!L9-Datos!V9)/Datos!V9,(Datos!L9+Datos!AB9-(Datos!V9+Datos!AJ9))/(Datos!V9+Datos!AJ9))," - ")</f>
        <v>-2.5982156832055094E-2</v>
      </c>
      <c r="F9" s="456">
        <f>IF(ISNUMBER((Datos!M9-Datos!W9)/Datos!W9),(Datos!M9-Datos!W9)/Datos!W9," - ")</f>
        <v>0.19900497512437812</v>
      </c>
      <c r="G9" s="457">
        <f>IF(ISNUMBER((Datos!N9-Datos!X9)/Datos!X9),(Datos!N9-Datos!X9)/Datos!X9," - ")</f>
        <v>0</v>
      </c>
      <c r="H9" s="455">
        <f>IF(ISNUMBER(((NºAsuntos!G9/NºAsuntos!E9)-Datos!BD9)/Datos!BD9),((NºAsuntos!G9/NºAsuntos!E9)-Datos!BD9)/Datos!BD9," - ")</f>
        <v>1.5776781170643021E-2</v>
      </c>
      <c r="I9" s="456">
        <f>IF(ISNUMBER(((NºAsuntos!I9/NºAsuntos!G9)-Datos!BE9)/Datos!BE9),((NºAsuntos!I9/NºAsuntos!G9)-Datos!BE9)/Datos!BE9," - ")</f>
        <v>-0.16519710093302067</v>
      </c>
      <c r="J9" s="461">
        <f>IF(ISNUMBER((('Resol  Asuntos'!D9/NºAsuntos!G9)-Datos!BF9)/Datos!BF9),(('Resol  Asuntos'!D9/NºAsuntos!G9)-Datos!BF9)/Datos!BF9," - ")</f>
        <v>-0.403022477200706</v>
      </c>
      <c r="K9" s="462">
        <f>IF(ISNUMBER((((NºAsuntos!C9+NºAsuntos!E9)/NºAsuntos!G9)-Datos!BG9)/Datos!BG9),(((NºAsuntos!C9+NºAsuntos!E9)/NºAsuntos!G9)-Datos!BG9)/Datos!BG9," - ")</f>
        <v>-0.13055472510536448</v>
      </c>
    </row>
    <row r="10" spans="1:11">
      <c r="A10" s="402" t="str">
        <f>Datos!A10</f>
        <v>Jdos. Violencia contra la mujer</v>
      </c>
      <c r="B10" s="455">
        <f>IF(ISNUMBER((Datos!I10-Datos!S10)/Datos!S10),(Datos!I10-Datos!S10)/Datos!S10," - ")</f>
        <v>-8.0645161290322578E-2</v>
      </c>
      <c r="C10" s="456">
        <f>IF(ISNUMBER((Datos!J10-Datos!T10)/Datos!T10),(Datos!J10-Datos!T10)/Datos!T10," - ")</f>
        <v>1.5714285714285714</v>
      </c>
      <c r="D10" s="456">
        <f>IF(ISNUMBER((Datos!K10-Datos!U10)/Datos!U10),(Datos!K10-Datos!U10)/Datos!U10," - ")</f>
        <v>0.61111111111111116</v>
      </c>
      <c r="E10" s="456">
        <f>IF(ISNUMBER((Datos!L10-Datos!V10)/Datos!V10),(Datos!L10-Datos!V10)/Datos!V10," - ")</f>
        <v>8.3333333333333332E-3</v>
      </c>
      <c r="F10" s="456">
        <f>IF(ISNUMBER((Datos!M10-Datos!W10)/Datos!W10),(Datos!M10-Datos!W10)/Datos!W10," - ")</f>
        <v>1</v>
      </c>
      <c r="G10" s="457">
        <f>IF(ISNUMBER((Datos!N10-Datos!X10)/Datos!X10),(Datos!N10-Datos!X10)/Datos!X10," - ")</f>
        <v>-0.41666666666666669</v>
      </c>
      <c r="H10" s="455">
        <f>IF(ISNUMBER(((NºAsuntos!G10/NºAsuntos!E10)-Datos!BD10)/Datos!BD10),((NºAsuntos!G10/NºAsuntos!E10)-Datos!BD10)/Datos!BD10," - ")</f>
        <v>-0.37345679012345684</v>
      </c>
      <c r="I10" s="456">
        <f>IF(ISNUMBER(((NºAsuntos!I10/NºAsuntos!G10)-Datos!BE10)/Datos!BE10),((NºAsuntos!I10/NºAsuntos!G10)-Datos!BE10)/Datos!BE10," - ")</f>
        <v>-0.37413793103448278</v>
      </c>
      <c r="J10" s="461">
        <f>IF(ISNUMBER((('Resol  Asuntos'!D10/NºAsuntos!G10)-Datos!BF10)/Datos!BF10),(('Resol  Asuntos'!D10/NºAsuntos!G10)-Datos!BF10)/Datos!BF10," - ")</f>
        <v>0.24137931034482762</v>
      </c>
      <c r="K10" s="462">
        <f>IF(ISNUMBER((((NºAsuntos!C10+NºAsuntos!E10)/NºAsuntos!G10)-Datos!BG10)/Datos!BG10),(((NºAsuntos!C10+NºAsuntos!E10)/NºAsuntos!G10)-Datos!BG10)/Datos!BG10," - ")</f>
        <v>-0.32533733133433285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-8.0606158310494926E-4</v>
      </c>
      <c r="C13" s="855">
        <f>IF(ISNUMBER(
   IF(J_V="SI",(Datos!J13-Datos!T13)/Datos!T13,(Datos!J13+Datos!Z13-(Datos!T13+Datos!AH13))/(Datos!T13+Datos!AH13))
     ),IF(J_V="SI",(Datos!J13-Datos!T13)/Datos!T13,(Datos!J13+Datos!Z13-(Datos!T13+Datos!AH13))/(Datos!T13+Datos!AH13))," - ")</f>
        <v>0.31633153506620892</v>
      </c>
      <c r="D13" s="855">
        <f>IF(ISNUMBER(
   IF(J_V="SI",(Datos!K13-Datos!U13)/Datos!U13,(Datos!K13+Datos!AA13-(Datos!U13+Datos!AI13))/(Datos!U13+Datos!AI13))
     ),IF(J_V="SI",(Datos!K13-Datos!U13)/Datos!U13,(Datos!K13+Datos!AA13-(Datos!U13+Datos!AI13))/(Datos!U13+Datos!AI13))," - ")</f>
        <v>0.30121177149451817</v>
      </c>
      <c r="E13" s="855">
        <f>IF(ISNUMBER(
   IF(J_V="SI",(Datos!L13-Datos!V13)/Datos!V13,(Datos!L13+Datos!AB13-(Datos!V13+Datos!AJ13))/(Datos!V13+Datos!AJ13))
     ),IF(J_V="SI",(Datos!L13-Datos!V13)/Datos!V13,(Datos!L13+Datos!AB13-(Datos!V13+Datos!AJ13))/(Datos!V13+Datos!AJ13))," - ")</f>
        <v>1.8589645106775233E-2</v>
      </c>
      <c r="F13" s="856">
        <f>IF(ISNUMBER((Datos!M13-Datos!W13)/Datos!W13),(Datos!M13-Datos!W13)/Datos!W13," - ")</f>
        <v>0.33170731707317075</v>
      </c>
      <c r="G13" s="857">
        <f>IF(ISNUMBER((Datos!N13-Datos!X13)/Datos!X13),(Datos!N13-Datos!X13)/Datos!X13," - ")</f>
        <v>0.12357954545454546</v>
      </c>
      <c r="H13" s="857">
        <f>IF(ISNUMBER(((NºAsuntos!G13/NºAsuntos!E13)-Datos!BD13)/Datos!BD13),((NºAsuntos!G13/NºAsuntos!E13)-Datos!BD13)/Datos!BD13," - ")</f>
        <v>-1.1486288346750166E-2</v>
      </c>
      <c r="I13" s="857">
        <f>IF(ISNUMBER(((NºAsuntos!I13/NºAsuntos!G13)-Datos!BE13)/Datos!BE13),((NºAsuntos!I13/NºAsuntos!G13)-Datos!BE13)/Datos!BE13," - ")</f>
        <v>-0.21719917739687739</v>
      </c>
      <c r="J13" s="857">
        <f>IF(ISNUMBER((('Resol  Asuntos'!D13/NºAsuntos!G13)-Datos!BF13)/Datos!BF13),(('Resol  Asuntos'!D13/NºAsuntos!G13)-Datos!BF13)/Datos!BF13," - ")</f>
        <v>-0.40055875831485588</v>
      </c>
      <c r="K13" s="857">
        <f>IF(ISNUMBER((((NºAsuntos!C13+NºAsuntos!E13)/NºAsuntos!G13)-Datos!BG13)/Datos!BG13),(((NºAsuntos!C13+NºAsuntos!E13)/NºAsuntos!G13)-Datos!BG13)/Datos!BG13," - ")</f>
        <v>-0.17180963223896209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0.11542056074766355</v>
      </c>
      <c r="C15" s="456">
        <f>IF(ISNUMBER(
   IF(D_I="SI",(Datos!J15-Datos!T15)/Datos!T15,(Datos!J15+Datos!AD15-(Datos!T15+Datos!AL15))/(Datos!T15+Datos!AL15))
     ),IF(D_I="SI",(Datos!J15-Datos!T15)/Datos!T15,(Datos!J15+Datos!AD15-(Datos!T15+Datos!AL15))/(Datos!T15+Datos!AL15))," - ")</f>
        <v>-3.6882222768625524E-2</v>
      </c>
      <c r="D15" s="456">
        <f>IF(ISNUMBER(
   IF(D_I="SI",(Datos!K15-Datos!U15)/Datos!U15,(Datos!K15+Datos!AE15-(Datos!U15+Datos!AM15))/(Datos!U15+Datos!AM15))
     ),IF(D_I="SI",(Datos!K15-Datos!U15)/Datos!U15,(Datos!K15+Datos!AE15-(Datos!U15+Datos!AM15))/(Datos!U15+Datos!AM15))," - ")</f>
        <v>2.8965890633459664E-2</v>
      </c>
      <c r="E15" s="456">
        <f>IF(ISNUMBER(
   IF(D_I="SI",(Datos!L15-Datos!V15)/Datos!V15,(Datos!L15+Datos!AF15-(Datos!V15+Datos!AN15))/(Datos!V15+Datos!AN15))
     ),IF(D_I="SI",(Datos!L15-Datos!V15)/Datos!V15,(Datos!L15+Datos!AF15-(Datos!V15+Datos!AN15))/(Datos!V15+Datos!AN15))," - ")</f>
        <v>-5.8295107033639146E-2</v>
      </c>
      <c r="F15" s="456">
        <f>IF(ISNUMBER((Datos!M15-Datos!W15)/Datos!W15),(Datos!M15-Datos!W15)/Datos!W15," - ")</f>
        <v>1.9083969465648854E-3</v>
      </c>
      <c r="G15" s="457">
        <f>IF(ISNUMBER((Datos!N15-Datos!X15)/Datos!X15),(Datos!N15-Datos!X15)/Datos!X15," - ")</f>
        <v>4.702970297029703E-2</v>
      </c>
      <c r="H15" s="455">
        <f>IF(ISNUMBER(((NºAsuntos!G15/NºAsuntos!E15)-Datos!BD15)/Datos!BD15),((NºAsuntos!G15/NºAsuntos!E15)-Datos!BD15)/Datos!BD15," - ")</f>
        <v>6.836974143637492E-2</v>
      </c>
      <c r="I15" s="456">
        <f>IF(ISNUMBER(((NºAsuntos!I15/NºAsuntos!G15)-Datos!BE15)/Datos!BE15),((NºAsuntos!I15/NºAsuntos!G15)-Datos!BE15)/Datos!BE15," - ")</f>
        <v>-8.4804558111618758E-2</v>
      </c>
      <c r="J15" s="461">
        <f>IF(ISNUMBER((('Resol  Asuntos'!D15/NºAsuntos!G15)-Datos!BF15)/Datos!BF15),(('Resol  Asuntos'!D15/NºAsuntos!G15)-Datos!BF15)/Datos!BF15," - ")</f>
        <v>-2.629581207034707E-2</v>
      </c>
      <c r="K15" s="462">
        <f>IF(ISNUMBER((((NºAsuntos!C15+NºAsuntos!E15)/NºAsuntos!G15)-Datos!BG15)/Datos!BG15),(((NºAsuntos!C15+NºAsuntos!E15)/NºAsuntos!G15)-Datos!BG15)/Datos!BG15," - ")</f>
        <v>1.1901775484416998E-2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-4.0160642570281121E-3</v>
      </c>
      <c r="C17" s="456">
        <f>IF(ISNUMBER(
   IF(D_I="SI",(Datos!J17-Datos!T17)/Datos!T17,(Datos!J17+Datos!AD17-(Datos!T17+Datos!AL17))/(Datos!T17+Datos!AL17))
     ),IF(D_I="SI",(Datos!J17-Datos!T17)/Datos!T17,(Datos!J17+Datos!AD17-(Datos!T17+Datos!AL17))/(Datos!T17+Datos!AL17))," - ")</f>
        <v>-6.118143459915612E-2</v>
      </c>
      <c r="D17" s="456">
        <f>IF(ISNUMBER(
   IF(D_I="SI",(Datos!K17-Datos!U17)/Datos!U17,(Datos!K17+Datos!AE17-(Datos!U17+Datos!AM17))/(Datos!U17+Datos!AM17))
     ),IF(D_I="SI",(Datos!K17-Datos!U17)/Datos!U17,(Datos!K17+Datos!AE17-(Datos!U17+Datos!AM17))/(Datos!U17+Datos!AM17))," - ")</f>
        <v>-0.15644820295983086</v>
      </c>
      <c r="E17" s="456">
        <f>IF(ISNUMBER(
   IF(D_I="SI",(Datos!L17-Datos!V17)/Datos!V17,(Datos!L17+Datos!AF17-(Datos!V17+Datos!AN17))/(Datos!V17+Datos!AN17))
     ),IF(D_I="SI",(Datos!L17-Datos!V17)/Datos!V17,(Datos!L17+Datos!AF17-(Datos!V17+Datos!AN17))/(Datos!V17+Datos!AN17))," - ")</f>
        <v>0.17599999999999999</v>
      </c>
      <c r="F17" s="456">
        <f>IF(ISNUMBER((Datos!M17-Datos!W17)/Datos!W17),(Datos!M17-Datos!W17)/Datos!W17," - ")</f>
        <v>-0.30379746835443039</v>
      </c>
      <c r="G17" s="457">
        <f>IF(ISNUMBER((Datos!N17-Datos!X17)/Datos!X17),(Datos!N17-Datos!X17)/Datos!X17," - ")</f>
        <v>-0.17375886524822695</v>
      </c>
      <c r="H17" s="455">
        <f>IF(ISNUMBER(((NºAsuntos!G17/NºAsuntos!E17)-Datos!BD17)/Datos!BD17),((NºAsuntos!G17/NºAsuntos!E17)-Datos!BD17)/Datos!BD17," - ")</f>
        <v>-0.10147516450103336</v>
      </c>
      <c r="I17" s="456">
        <f>IF(ISNUMBER(((NºAsuntos!I17/NºAsuntos!G17)-Datos!BE17)/Datos!BE17),((NºAsuntos!I17/NºAsuntos!G17)-Datos!BE17)/Datos!BE17," - ")</f>
        <v>0.39410526315789468</v>
      </c>
      <c r="J17" s="461">
        <f>IF(ISNUMBER((('Resol  Asuntos'!D17/NºAsuntos!G17)-Datos!BF17)/Datos!BF17),(('Resol  Asuntos'!D17/NºAsuntos!G17)-Datos!BF17)/Datos!BF17," - ")</f>
        <v>-0.17467719932743256</v>
      </c>
      <c r="K17" s="462">
        <f>IF(ISNUMBER((((NºAsuntos!C17+NºAsuntos!E17)/NºAsuntos!G17)-Datos!BG17)/Datos!BG17),(((NºAsuntos!C17+NºAsuntos!E17)/NºAsuntos!G17)-Datos!BG17)/Datos!BG17," - ")</f>
        <v>0.13627429569775065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0.10885405166703467</v>
      </c>
      <c r="C18" s="855">
        <f>IF(ISNUMBER(
   IF(Criterios!B14="SI",(Datos!J18-Datos!T18)/Datos!T18,(Datos!J18+Datos!AD18-(Datos!T18+Datos!AL18))/(Datos!T18+Datos!AL18))
     ),IF(Criterios!B14="SI",(Datos!J18-Datos!T18)/Datos!T18,(Datos!J18+Datos!AD18-(Datos!T18+Datos!AL18))/(Datos!T18+Datos!AL18))," - ")</f>
        <v>-3.94186302576525E-2</v>
      </c>
      <c r="D18" s="855">
        <f>IF(ISNUMBER(
   IF(Criterios!B14="SI",(Datos!K18-Datos!U18)/Datos!U18,(Datos!K18+Datos!AE18-(Datos!U18+Datos!AM18))/(Datos!U18+Datos!AM18))
     ),IF(Criterios!B14="SI",(Datos!K18-Datos!U18)/Datos!U18,(Datos!K18+Datos!AE18-(Datos!U18+Datos!AM18))/(Datos!U18+Datos!AM18))," - ")</f>
        <v>7.9193664506839456E-3</v>
      </c>
      <c r="E18" s="855">
        <f>IF(ISNUMBER(
   IF(Criterios!B14="SI",(Datos!L18-Datos!V18)/Datos!V18,(Datos!L18+Datos!AF18-(Datos!V18+Datos!AN18))/(Datos!V18+Datos!AN18))
     ),IF(Criterios!B14="SI",(Datos!L18-Datos!V18)/Datos!V18,(Datos!L18+Datos!AF18-(Datos!V18+Datos!AN18))/(Datos!V18+Datos!AN18))," - ")</f>
        <v>-4.7610361182050344E-2</v>
      </c>
      <c r="F18" s="856">
        <f>IF(ISNUMBER((Datos!M18-Datos!W18)/Datos!W18),(Datos!M18-Datos!W18)/Datos!W18," - ")</f>
        <v>-3.8142620232172471E-2</v>
      </c>
      <c r="G18" s="857">
        <f>IF(ISNUMBER((Datos!N18-Datos!X18)/Datos!X18),(Datos!N18-Datos!X18)/Datos!X18," - ")</f>
        <v>2.402069475240207E-2</v>
      </c>
      <c r="H18" s="857">
        <f>IF(ISNUMBER(((NºAsuntos!G18/NºAsuntos!E18)-Datos!BD18)/Datos!BD18),((NºAsuntos!G18/NºAsuntos!E18)-Datos!BD18)/Datos!BD18," - ")</f>
        <v>4.9280569246344726E-2</v>
      </c>
      <c r="I18" s="857">
        <f>IF(ISNUMBER(((NºAsuntos!I18/NºAsuntos!G18)-Datos!BE18)/Datos!BE18),((NºAsuntos!I18/NºAsuntos!G18)-Datos!BE18)/Datos!BE18," - ")</f>
        <v>-5.5093422629905762E-2</v>
      </c>
      <c r="J18" s="857">
        <f>IF(ISNUMBER((('Resol  Asuntos'!D18/NºAsuntos!G18)-Datos!BF18)/Datos!BF18),(('Resol  Asuntos'!D18/NºAsuntos!G18)-Datos!BF18)/Datos!BF18," - ")</f>
        <v>-4.5700071073205284E-2</v>
      </c>
      <c r="K18" s="857">
        <f>IF(ISNUMBER((((NºAsuntos!C18+NºAsuntos!E18)/NºAsuntos!G18)-Datos!BG18)/Datos!BG18),(((NºAsuntos!C18+NºAsuntos!E18)/NºAsuntos!G18)-Datos!BG18)/Datos!BG18," - ")</f>
        <v>2.6490470940305648E-2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4.5471487141259787E-2</v>
      </c>
      <c r="C19" s="802">
        <f>IF(ISNUMBER(
   IF(J_V="SI",(Datos!J19-Datos!T19)/Datos!T19,(Datos!J19+Datos!Z19-(Datos!T19+Datos!AH19))/(Datos!T19+Datos!AH19))
     ),IF(J_V="SI",(Datos!J19-Datos!T19)/Datos!T19,(Datos!J19+Datos!Z19-(Datos!T19+Datos!AH19))/(Datos!T19+Datos!AH19))," - ")</f>
        <v>7.0820668693009112E-2</v>
      </c>
      <c r="D19" s="802">
        <f>IF(ISNUMBER(
   IF(J_V="SI",(Datos!K19-Datos!U19)/Datos!U19,(Datos!K19+Datos!AA19-(Datos!U19+Datos!AI19))/(Datos!U19+Datos!AI19))
     ),IF(J_V="SI",(Datos!K19-Datos!U19)/Datos!U19,(Datos!K19+Datos!AA19-(Datos!U19+Datos!AI19))/(Datos!U19+Datos!AI19))," - ")</f>
        <v>9.4067796610169493E-2</v>
      </c>
      <c r="E19" s="802">
        <f>IF(ISNUMBER(
   IF(J_V="SI",(Datos!L19-Datos!V19)/Datos!V19,(Datos!L19+Datos!AB19-(Datos!V19+Datos!AJ19))/(Datos!V19+Datos!AJ19))
     ),IF(J_V="SI",(Datos!L19-Datos!V19)/Datos!V19,(Datos!L19+Datos!AB19-(Datos!V19+Datos!AJ19))/(Datos!V19+Datos!AJ19))," - ")</f>
        <v>-1.1675423234092236E-2</v>
      </c>
      <c r="F19" s="803">
        <f>IF(ISNUMBER((Datos!M19-Datos!W19)/Datos!W19),(Datos!M19-Datos!W19)/Datos!W19," - ")</f>
        <v>0.11154985192497532</v>
      </c>
      <c r="G19" s="804">
        <f>IF(ISNUMBER((Datos!N19-Datos!X19)/Datos!X19),(Datos!N19-Datos!X19)/Datos!X19," - ")</f>
        <v>4.457478005865103E-2</v>
      </c>
      <c r="H19" s="805">
        <f>IF(ISNUMBER((Tasas!B19-Datos!BD19)/Datos!BD19),(Tasas!B19-Datos!BD19)/Datos!BD19," - ")</f>
        <v>2.170963691383971E-2</v>
      </c>
      <c r="I19" s="806">
        <f>IF(ISNUMBER((Tasas!C19-Datos!BE19)/Datos!BE19),(Tasas!C19-Datos!BE19)/Datos!BE19," - ")</f>
        <v>-9.6651432545490953E-2</v>
      </c>
      <c r="J19" s="807">
        <f>IF(ISNUMBER((Tasas!D19-Datos!BF19)/Datos!BF19),(Tasas!D19-Datos!BF19)/Datos!BF19," - ")</f>
        <v>-0.21014069302027791</v>
      </c>
      <c r="K19" s="807">
        <f>IF(ISNUMBER((Tasas!E19-Datos!BG19)/Datos!BG19),(Tasas!E19-Datos!BG19)/Datos!BG19," - ")</f>
        <v>-3.5611606586763662E-2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A798RnImPTTQ7WApz1R0j8qGpBrWqpboMaWvbCNKHaBYwlnu8pqVAacgeweF9inutkSm1LJbYpKFQ3+YV7rLA==" saltValue="ywX+evuGjvrwdfVXa1kz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EIVISSA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0.86027515047291492</v>
      </c>
      <c r="C9" s="443">
        <f>IF(ISNUMBER(NºAsuntos!I9/NºAsuntos!G9),NºAsuntos!I9/NºAsuntos!G9," - ")</f>
        <v>3.109945027486257</v>
      </c>
      <c r="D9" s="444">
        <f>IF(ISNUMBER('Resol  Asuntos'!D9/NºAsuntos!G9),'Resol  Asuntos'!D9/NºAsuntos!G9," - ")</f>
        <v>0.24087956021989004</v>
      </c>
      <c r="E9" s="445">
        <f>IF(ISNUMBER((NºAsuntos!C9+NºAsuntos!E9)/NºAsuntos!G9),(NºAsuntos!C9+NºAsuntos!E9)/NºAsuntos!G9," - ")</f>
        <v>4.1084457771114442</v>
      </c>
      <c r="G9" s="463"/>
    </row>
    <row r="10" spans="1:7">
      <c r="A10" s="402" t="str">
        <f>Datos!A10</f>
        <v>Jdos. Violencia contra la mujer</v>
      </c>
      <c r="B10" s="442">
        <f>IF(ISNUMBER(NºAsuntos!G10/NºAsuntos!E10),NºAsuntos!G10/NºAsuntos!E10," - ")</f>
        <v>0.80555555555555558</v>
      </c>
      <c r="C10" s="443">
        <f>IF(ISNUMBER(NºAsuntos!I10/NºAsuntos!G10),NºAsuntos!I10/NºAsuntos!G10," - ")</f>
        <v>4.1724137931034484</v>
      </c>
      <c r="D10" s="444">
        <f>IF(ISNUMBER('Resol  Asuntos'!D10/NºAsuntos!G10),'Resol  Asuntos'!D10/NºAsuntos!G10," - ")</f>
        <v>0.55172413793103448</v>
      </c>
      <c r="E10" s="445">
        <f>IF(ISNUMBER((NºAsuntos!C10+NºAsuntos!E10)/NºAsuntos!G10),(NºAsuntos!C10+NºAsuntos!E10)/NºAsuntos!G10," - ")</f>
        <v>5.1724137931034484</v>
      </c>
      <c r="G10" s="463"/>
    </row>
    <row r="11" spans="1:7">
      <c r="A11" s="402" t="str">
        <f>Datos!A11</f>
        <v xml:space="preserve">Jdos. Familia                                   </v>
      </c>
      <c r="B11" s="442">
        <f>IF(ISNUMBER(NºAsuntos!G11/NºAsuntos!E11),NºAsuntos!G11/NºAsuntos!E11," - ")</f>
        <v>0.69875776397515532</v>
      </c>
      <c r="C11" s="443">
        <f>IF(ISNUMBER(NºAsuntos!I11/NºAsuntos!G11),NºAsuntos!I11/NºAsuntos!G11," - ")</f>
        <v>1.2711111111111111</v>
      </c>
      <c r="D11" s="444">
        <f>IF(ISNUMBER('Resol  Asuntos'!D11/NºAsuntos!G11),'Resol  Asuntos'!D11/NºAsuntos!G11," - ")</f>
        <v>0.21333333333333335</v>
      </c>
      <c r="E11" s="445">
        <f>IF(ISNUMBER((NºAsuntos!C11+NºAsuntos!E11)/NºAsuntos!G11),(NºAsuntos!C11+NºAsuntos!E11)/NºAsuntos!G11," - ")</f>
        <v>2.2711111111111113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0.8401639344262295</v>
      </c>
      <c r="C13" s="859">
        <f>IF(ISNUMBER(NºAsuntos!I13/NºAsuntos!G13),NºAsuntos!I13/NºAsuntos!G13," - ")</f>
        <v>2.9401330376940131</v>
      </c>
      <c r="D13" s="860">
        <f>IF(ISNUMBER('Resol  Asuntos'!D13/NºAsuntos!G13),'Resol  Asuntos'!D13/NºAsuntos!G13," - ")</f>
        <v>0.24212860310421286</v>
      </c>
      <c r="E13" s="861">
        <f>IF(ISNUMBER((NºAsuntos!C13+NºAsuntos!E13)/NºAsuntos!G13),(NºAsuntos!C13+NºAsuntos!E13)/NºAsuntos!G13," - ")</f>
        <v>3.9388026607538804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0.97038549910645899</v>
      </c>
      <c r="C15" s="443">
        <f>IF(ISNUMBER(NºAsuntos!I15/NºAsuntos!G15),NºAsuntos!I15/NºAsuntos!G15," - ")</f>
        <v>1.2962378321494343</v>
      </c>
      <c r="D15" s="444">
        <f>IF(ISNUMBER('Resol  Asuntos'!D15/NºAsuntos!G15),'Resol  Asuntos'!D15/NºAsuntos!G15," - ")</f>
        <v>0.13812154696132597</v>
      </c>
      <c r="E15" s="445">
        <f>IF(ISNUMBER((NºAsuntos!C15+NºAsuntos!E15)/NºAsuntos!G15),(NºAsuntos!C15+NºAsuntos!E15)/NºAsuntos!G15," - ")</f>
        <v>2.2865035516969217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0.89662921348314606</v>
      </c>
      <c r="C17" s="443">
        <f>IF(ISNUMBER(NºAsuntos!I17/NºAsuntos!G17),NºAsuntos!I17/NºAsuntos!G17," - ")</f>
        <v>0.73684210526315785</v>
      </c>
      <c r="D17" s="444">
        <f>IF(ISNUMBER('Resol  Asuntos'!D17/NºAsuntos!G17),'Resol  Asuntos'!D17/NºAsuntos!G17," - ")</f>
        <v>0.13784461152882205</v>
      </c>
      <c r="E17" s="445">
        <f>IF(ISNUMBER((NºAsuntos!C17+NºAsuntos!E17)/NºAsuntos!G17),(NºAsuntos!C17+NºAsuntos!E17)/NºAsuntos!G17," - ")</f>
        <v>1.736842105263158</v>
      </c>
      <c r="G17" s="463"/>
    </row>
    <row r="18" spans="1:7" ht="14.25" thickTop="1" thickBot="1">
      <c r="A18" s="848" t="str">
        <f>Datos!A18</f>
        <v>TOTAL</v>
      </c>
      <c r="B18" s="858">
        <f>IF(ISNUMBER(NºAsuntos!G18/NºAsuntos!E18),NºAsuntos!G18/NºAsuntos!E18," - ")</f>
        <v>0.96286107290233836</v>
      </c>
      <c r="C18" s="859">
        <f>IF(ISNUMBER(NºAsuntos!I18/NºAsuntos!G18),NºAsuntos!I18/NºAsuntos!G18," - ")</f>
        <v>1.243095238095238</v>
      </c>
      <c r="D18" s="862">
        <f>IF(ISNUMBER('Resol  Asuntos'!D18/NºAsuntos!G18),'Resol  Asuntos'!D18/NºAsuntos!G18," - ")</f>
        <v>0.1380952380952381</v>
      </c>
      <c r="E18" s="861">
        <f>IF(ISNUMBER((NºAsuntos!C18+NºAsuntos!E18)/NºAsuntos!G18),(NºAsuntos!C18+NºAsuntos!E18)/NºAsuntos!G18," - ")</f>
        <v>2.2342857142857144</v>
      </c>
      <c r="G18" s="463"/>
    </row>
    <row r="19" spans="1:7" ht="15.75" customHeight="1" thickTop="1" thickBot="1">
      <c r="A19" s="793" t="str">
        <f>Datos!A19</f>
        <v>TOTAL JURISDICCIONES</v>
      </c>
      <c r="B19" s="808">
        <f>IF(ISNUMBER(NºAsuntos!G19/NºAsuntos!E19),NºAsuntos!G19/NºAsuntos!E19," - ")</f>
        <v>0.91612262276468914</v>
      </c>
      <c r="C19" s="809">
        <f>IF(ISNUMBER(NºAsuntos!I19/NºAsuntos!G19),NºAsuntos!I19/NºAsuntos!G19," - ")</f>
        <v>1.8359411309062743</v>
      </c>
      <c r="D19" s="810">
        <f>IF(ISNUMBER('Resol  Asuntos'!D19/NºAsuntos!G19),'Resol  Asuntos'!D19/NºAsuntos!G19," - ")</f>
        <v>0.17443841982958946</v>
      </c>
      <c r="E19" s="811">
        <f>IF(ISNUMBER((NºAsuntos!C19+NºAsuntos!E19)/NºAsuntos!G19),(NºAsuntos!C19+NºAsuntos!E19)/NºAsuntos!G19," - ")</f>
        <v>2.8297443841982961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0SlO78Ru8k1HYulHreAP44DzPgDReiCbz5Cv5QPoi7zh73BzJY4unslEL2Lzb/tYGf6InxdoXEOPzZ7CX0prg==" saltValue="gHlGlmjK0zJQd+nAwWfO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EIVISSA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466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416</v>
      </c>
      <c r="Y9" s="334">
        <f>SUM(W9:X9)</f>
        <v>416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7579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482</v>
      </c>
      <c r="AJ9" s="229" t="str">
        <f>IF(ISNUMBER(Datos!BW9),Datos!BW9," - ")</f>
        <v xml:space="preserve"> - </v>
      </c>
      <c r="AK9" s="228" t="str">
        <f>IF(ISNUMBER(Datos!BX9),Datos!BX9," - ")</f>
        <v xml:space="preserve"> - </v>
      </c>
      <c r="AL9" s="243">
        <f>IF(ISNUMBER(NºAsuntos!G9/NºAsuntos!E9),NºAsuntos!G9/NºAsuntos!E9," - ")</f>
        <v>0.86027515047291492</v>
      </c>
      <c r="AM9" s="260">
        <f>IF(ISNUMBER(((NºAsuntos!I9/NºAsuntos!G9)*11)/factor_trimestre),((NºAsuntos!I9/NºAsuntos!G9)*11)/factor_trimestre," - ")</f>
        <v>6.2198900549725131</v>
      </c>
      <c r="AN9" s="244">
        <f>IF(ISNUMBER('Resol  Asuntos'!D9/NºAsuntos!G9),'Resol  Asuntos'!D9/NºAsuntos!G9," - ")</f>
        <v>0.24087956021989004</v>
      </c>
      <c r="AO9" s="245">
        <f>IF(ISNUMBER((NºAsuntos!C9+NºAsuntos!E9)/NºAsuntos!G9),(NºAsuntos!C9+NºAsuntos!E9)/NºAsuntos!G9," - ")</f>
        <v>4.1084457771114442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114</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5</v>
      </c>
      <c r="Y10" s="334">
        <f t="shared" ref="Y10:Y12" si="0">SUM(W10:X10)</f>
        <v>34</v>
      </c>
      <c r="Z10" s="335" t="str">
        <f>IF(ISNUMBER(Datos!CC10),Datos!CC10," - ")</f>
        <v xml:space="preserve"> - </v>
      </c>
      <c r="AA10" s="332">
        <f>IF(ISNUMBER(Datos!L10),Datos!L10,"-")</f>
        <v>121</v>
      </c>
      <c r="AB10" s="334">
        <f>IF(ISNUMBER(Datos!R10),Datos!R10," - ")</f>
        <v>18</v>
      </c>
      <c r="AC10" s="334">
        <f t="shared" ref="AC10:AC12" si="1">IF(ISNUMBER(AA10+AB10),AA10+AB10," - ")</f>
        <v>139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0.80555555555555558</v>
      </c>
      <c r="AM10" s="260">
        <f>IF(ISNUMBER(((NºAsuntos!I10/NºAsuntos!G10)*11)/factor_trimestre),((NºAsuntos!I10/NºAsuntos!G10)*11)/factor_trimestre," - ")</f>
        <v>8.3448275862068968</v>
      </c>
      <c r="AN10" s="244">
        <f>IF(ISNUMBER('Resol  Asuntos'!D10/NºAsuntos!G10),'Resol  Asuntos'!D10/NºAsuntos!G10," - ")</f>
        <v>0.55172413793103448</v>
      </c>
      <c r="AO10" s="245">
        <f>IF(ISNUMBER((NºAsuntos!C10+NºAsuntos!E10)/NºAsuntos!G10),(NºAsuntos!C10+NºAsuntos!E10)/NºAsuntos!G10," - ")</f>
        <v>5.1724137931034484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0</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48</v>
      </c>
      <c r="AJ11" s="231" t="str">
        <f>IF(ISNUMBER(Datos!BW11),Datos!BW11," - ")</f>
        <v xml:space="preserve"> - </v>
      </c>
      <c r="AK11" s="232" t="str">
        <f>IF(ISNUMBER(Datos!BX11),Datos!BX11," - ")</f>
        <v xml:space="preserve"> - </v>
      </c>
      <c r="AL11" s="243">
        <f>IF(ISNUMBER(NºAsuntos!G11/NºAsuntos!E11),NºAsuntos!G11/NºAsuntos!E11," - ")</f>
        <v>0.69875776397515532</v>
      </c>
      <c r="AM11" s="260">
        <f>IF(ISNUMBER(((NºAsuntos!I11/NºAsuntos!G11)*11)/factor_trimestre),((NºAsuntos!I11/NºAsuntos!G11)*11)/factor_trimestre," - ")</f>
        <v>2.5422222222222222</v>
      </c>
      <c r="AN11" s="244">
        <f>IF(ISNUMBER('Resol  Asuntos'!D11/NºAsuntos!G11),'Resol  Asuntos'!D11/NºAsuntos!G11," - ")</f>
        <v>0.21333333333333335</v>
      </c>
      <c r="AO11" s="245">
        <f>IF(ISNUMBER((NºAsuntos!C11+NºAsuntos!E11)/NºAsuntos!G11),(NºAsuntos!C11+NºAsuntos!E11)/NºAsuntos!G11," - ")</f>
        <v>2.2711111111111113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114</v>
      </c>
      <c r="G13" s="866">
        <f t="shared" si="3"/>
        <v>114</v>
      </c>
      <c r="H13" s="865">
        <f t="shared" si="3"/>
        <v>0</v>
      </c>
      <c r="I13" s="867">
        <f t="shared" si="3"/>
        <v>0</v>
      </c>
      <c r="J13" s="867">
        <f t="shared" si="3"/>
        <v>0</v>
      </c>
      <c r="K13" s="867">
        <f t="shared" si="3"/>
        <v>0</v>
      </c>
      <c r="L13" s="867">
        <f t="shared" si="3"/>
        <v>469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421</v>
      </c>
      <c r="Y13" s="868">
        <f t="shared" si="4"/>
        <v>450</v>
      </c>
      <c r="Z13" s="868">
        <f t="shared" si="4"/>
        <v>0</v>
      </c>
      <c r="AA13" s="868">
        <f t="shared" si="4"/>
        <v>121</v>
      </c>
      <c r="AB13" s="868">
        <f t="shared" si="4"/>
        <v>7598</v>
      </c>
      <c r="AC13" s="868">
        <f t="shared" si="4"/>
        <v>139</v>
      </c>
      <c r="AD13" s="868">
        <f t="shared" si="4"/>
        <v>0</v>
      </c>
      <c r="AE13" s="872">
        <f t="shared" si="4"/>
        <v>0</v>
      </c>
      <c r="AF13" s="865">
        <f t="shared" si="4"/>
        <v>0</v>
      </c>
      <c r="AG13" s="873">
        <f t="shared" si="4"/>
        <v>0</v>
      </c>
      <c r="AH13" s="870">
        <f t="shared" si="4"/>
        <v>0</v>
      </c>
      <c r="AI13" s="865">
        <f t="shared" si="4"/>
        <v>546</v>
      </c>
      <c r="AJ13" s="867">
        <f t="shared" si="4"/>
        <v>0</v>
      </c>
      <c r="AK13" s="870">
        <f>SUBTOTAL(9,AK9:AK12)</f>
        <v>0</v>
      </c>
      <c r="AL13" s="874">
        <f>IF(ISNUMBER(NºAsuntos!G13/NºAsuntos!E13),NºAsuntos!G13/NºAsuntos!E13," - ")</f>
        <v>0.8401639344262295</v>
      </c>
      <c r="AM13" s="874">
        <f>IF(ISNUMBER(((NºAsuntos!I13/NºAsuntos!G13)*11)/factor_trimestre),((NºAsuntos!I13/NºAsuntos!G13)*11)/factor_trimestre," - ")</f>
        <v>5.8802660753880254</v>
      </c>
      <c r="AN13" s="875">
        <f>IF(ISNUMBER('Resol  Asuntos'!D13/NºAsuntos!G13),'Resol  Asuntos'!D13/NºAsuntos!G13," - ")</f>
        <v>0.24212860310421286</v>
      </c>
      <c r="AO13" s="876">
        <f>IF(ISNUMBER((NºAsuntos!C13+NºAsuntos!E13)/NºAsuntos!G13),(NºAsuntos!C13+NºAsuntos!E13)/NºAsuntos!G13," - ")</f>
        <v>3.9388026607538804</v>
      </c>
      <c r="AP13" s="877" t="str">
        <f t="shared" si="2"/>
        <v xml:space="preserve"> - </v>
      </c>
      <c r="AQ13" s="877">
        <f>IF(ISNUMBER((H13-W13+K13)/(F13)),(H13-W13+K13)/(F13)," - ")</f>
        <v>-0.25438596491228072</v>
      </c>
      <c r="AR13" s="878">
        <f>IF(ISNUMBER((Datos!P13-Datos!Q13)/(Datos!R13-Datos!P13+Datos!Q13)),(Datos!P13-Datos!Q13)/(Datos!R13-Datos!P13+Datos!Q13)," - ")</f>
        <v>6.3576158940397351E-3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4811</v>
      </c>
      <c r="G15" s="333">
        <f>IF(ISNUMBER(IF(D_I="SI",Datos!I15,Datos!I15+Datos!AC15)),IF(D_I="SI",Datos!I15,Datos!I15+Datos!AC15)," - ")</f>
        <v>4774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3801</v>
      </c>
      <c r="X15" s="226">
        <f>IF(ISNUMBER(Datos!Q15),Datos!Q15," - ")</f>
        <v>36</v>
      </c>
      <c r="Y15" s="334">
        <f>SUM(W15)</f>
        <v>3801</v>
      </c>
      <c r="Z15" s="335" t="str">
        <f>IF(ISNUMBER(Datos!CC15),Datos!CC15," - ")</f>
        <v xml:space="preserve"> - </v>
      </c>
      <c r="AA15" s="332">
        <f>IF(ISNUMBER(IF(D_I="SI",Datos!L15,Datos!L15+Datos!AF15)),IF(D_I="SI",Datos!L15,Datos!L15+Datos!AF15)," - ")</f>
        <v>4927</v>
      </c>
      <c r="AB15" s="334">
        <f>IF(ISNUMBER(Datos!R15),Datos!R15," - ")</f>
        <v>303</v>
      </c>
      <c r="AC15" s="334">
        <f t="shared" ref="AC15:AC17" si="6">IF(ISNUMBER(AA15+AB15),AA15+AB15," - ")</f>
        <v>5230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525</v>
      </c>
      <c r="AJ15" s="231" t="str">
        <f>IF(ISNUMBER(Datos!BW15),Datos!BW15," - ")</f>
        <v xml:space="preserve"> - </v>
      </c>
      <c r="AK15" s="232" t="str">
        <f>IF(ISNUMBER(Datos!BX15),Datos!BX15," - ")</f>
        <v xml:space="preserve"> - </v>
      </c>
      <c r="AL15" s="243">
        <f>IF(ISNUMBER(NºAsuntos!G15/NºAsuntos!E15),NºAsuntos!G15/NºAsuntos!E15," - ")</f>
        <v>0.97038549910645899</v>
      </c>
      <c r="AM15" s="260">
        <f>IF(ISNUMBER(((NºAsuntos!I15/NºAsuntos!G15)*11)/factor_trimestre),((NºAsuntos!I15/NºAsuntos!G15)*11)/factor_trimestre," - ")</f>
        <v>2.5924756642988687</v>
      </c>
      <c r="AN15" s="244">
        <f>IF(ISNUMBER('Resol  Asuntos'!D15/NºAsuntos!G15),'Resol  Asuntos'!D15/NºAsuntos!G15," - ")</f>
        <v>0.13812154696132597</v>
      </c>
      <c r="AO15" s="245">
        <f>IF(ISNUMBER((NºAsuntos!C15+NºAsuntos!E15)/NºAsuntos!G15),(NºAsuntos!C15+NºAsuntos!E15)/NºAsuntos!G15," - ")</f>
        <v>2.2865035516969217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399</v>
      </c>
      <c r="X17" s="226">
        <f>IF(ISNUMBER(Datos!Q17),Datos!Q17," - ")</f>
        <v>5</v>
      </c>
      <c r="Y17" s="334">
        <f t="shared" si="7"/>
        <v>404</v>
      </c>
      <c r="Z17" s="335" t="str">
        <f>IF(ISNUMBER(Datos!CC17),Datos!CC17," - ")</f>
        <v xml:space="preserve"> - </v>
      </c>
      <c r="AA17" s="332">
        <f>IF(ISNUMBER(Datos!L17),Datos!L17,"-")</f>
        <v>294</v>
      </c>
      <c r="AB17" s="334">
        <f>IF(ISNUMBER(Datos!R17),Datos!R17," - ")</f>
        <v>10</v>
      </c>
      <c r="AC17" s="334">
        <f t="shared" si="6"/>
        <v>304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55</v>
      </c>
      <c r="AJ17" s="231" t="str">
        <f>IF(ISNUMBER(Datos!BW17),Datos!BW17," - ")</f>
        <v xml:space="preserve"> - </v>
      </c>
      <c r="AK17" s="232" t="str">
        <f>IF(ISNUMBER(Datos!BX17),Datos!BX17," - ")</f>
        <v xml:space="preserve"> - </v>
      </c>
      <c r="AL17" s="243">
        <f>IF(ISNUMBER(NºAsuntos!G17/NºAsuntos!E17),NºAsuntos!G17/NºAsuntos!E17," - ")</f>
        <v>0.89662921348314606</v>
      </c>
      <c r="AM17" s="260">
        <f>IF(ISNUMBER(((NºAsuntos!I17/NºAsuntos!G17)*11)/factor_trimestre),((NºAsuntos!I17/NºAsuntos!G17)*11)/factor_trimestre," - ")</f>
        <v>1.4736842105263157</v>
      </c>
      <c r="AN17" s="244">
        <f>IF(ISNUMBER('Resol  Asuntos'!D17/NºAsuntos!G17),'Resol  Asuntos'!D17/NºAsuntos!G17," - ")</f>
        <v>0.13784461152882205</v>
      </c>
      <c r="AO17" s="245">
        <f>IF(ISNUMBER((NºAsuntos!C17+NºAsuntos!E17)/NºAsuntos!G17),(NºAsuntos!C17+NºAsuntos!E17)/NºAsuntos!G17," - ")</f>
        <v>1.736842105263158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4811</v>
      </c>
      <c r="G18" s="866">
        <f>SUBTOTAL(9,G15:G17)</f>
        <v>5022</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4200</v>
      </c>
      <c r="X18" s="867">
        <f t="shared" si="11"/>
        <v>41</v>
      </c>
      <c r="Y18" s="868">
        <f t="shared" si="11"/>
        <v>4205</v>
      </c>
      <c r="Z18" s="868">
        <f t="shared" si="11"/>
        <v>0</v>
      </c>
      <c r="AA18" s="868">
        <f t="shared" si="11"/>
        <v>5221</v>
      </c>
      <c r="AB18" s="868">
        <f t="shared" si="11"/>
        <v>313</v>
      </c>
      <c r="AC18" s="868">
        <f t="shared" si="11"/>
        <v>5534</v>
      </c>
      <c r="AD18" s="868">
        <f t="shared" si="11"/>
        <v>0</v>
      </c>
      <c r="AE18" s="872">
        <f t="shared" si="11"/>
        <v>0</v>
      </c>
      <c r="AF18" s="865">
        <f t="shared" si="11"/>
        <v>0</v>
      </c>
      <c r="AG18" s="873">
        <f t="shared" si="11"/>
        <v>0</v>
      </c>
      <c r="AH18" s="870">
        <f t="shared" si="11"/>
        <v>0</v>
      </c>
      <c r="AI18" s="865">
        <f t="shared" si="11"/>
        <v>580</v>
      </c>
      <c r="AJ18" s="867">
        <f t="shared" si="11"/>
        <v>0</v>
      </c>
      <c r="AK18" s="870">
        <f t="shared" si="11"/>
        <v>0</v>
      </c>
      <c r="AL18" s="874">
        <f>IF(ISNUMBER(NºAsuntos!G18/NºAsuntos!E18),NºAsuntos!G18/NºAsuntos!E18," - ")</f>
        <v>0.96286107290233836</v>
      </c>
      <c r="AM18" s="874">
        <f>IF(ISNUMBER(((NºAsuntos!I18/NºAsuntos!G18)*11)/factor_trimestre),((NºAsuntos!I18/NºAsuntos!G18)*11)/factor_trimestre," - ")</f>
        <v>2.4861904761904761</v>
      </c>
      <c r="AN18" s="875">
        <f>IF(ISNUMBER('Resol  Asuntos'!D18/NºAsuntos!G18),'Resol  Asuntos'!D18/NºAsuntos!G18," - ")</f>
        <v>0.1380952380952381</v>
      </c>
      <c r="AO18" s="876">
        <f>IF(ISNUMBER((NºAsuntos!C18+NºAsuntos!E18)/NºAsuntos!G18),(NºAsuntos!C18+NºAsuntos!E18)/NºAsuntos!G18," - ")</f>
        <v>2.2342857142857144</v>
      </c>
      <c r="AP18" s="877" t="str">
        <f t="shared" si="2"/>
        <v xml:space="preserve"> - </v>
      </c>
      <c r="AQ18" s="877">
        <f>IF(ISNUMBER((H18-W18+K18)/(F18)),(H18-W18+K18)/(F18)," - ")</f>
        <v>-0.87299937642901682</v>
      </c>
      <c r="AR18" s="878">
        <f>IF(ISNUMBER((Datos!P18-Datos!Q18)/(Datos!R18-Datos!P18+Datos!Q18)),(Datos!P18-Datos!Q18)/(Datos!R18-Datos!P18+Datos!Q18)," - ")</f>
        <v>0.23715415019762845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4925</v>
      </c>
      <c r="G19" s="821">
        <f t="shared" si="13"/>
        <v>5136</v>
      </c>
      <c r="H19" s="820">
        <f t="shared" si="13"/>
        <v>0</v>
      </c>
      <c r="I19" s="822">
        <f t="shared" si="13"/>
        <v>0</v>
      </c>
      <c r="J19" s="822">
        <f t="shared" si="13"/>
        <v>0</v>
      </c>
      <c r="K19" s="881">
        <f t="shared" si="13"/>
        <v>0</v>
      </c>
      <c r="L19" s="822">
        <f t="shared" si="13"/>
        <v>570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4229</v>
      </c>
      <c r="X19" s="821">
        <f t="shared" si="14"/>
        <v>462</v>
      </c>
      <c r="Y19" s="828">
        <f t="shared" si="14"/>
        <v>4655</v>
      </c>
      <c r="Z19" s="828">
        <f t="shared" si="14"/>
        <v>0</v>
      </c>
      <c r="AA19" s="828">
        <f t="shared" si="14"/>
        <v>5342</v>
      </c>
      <c r="AB19" s="828">
        <f t="shared" si="14"/>
        <v>7911</v>
      </c>
      <c r="AC19" s="828">
        <f t="shared" si="14"/>
        <v>5673</v>
      </c>
      <c r="AD19" s="828">
        <f t="shared" si="14"/>
        <v>0</v>
      </c>
      <c r="AE19" s="830">
        <f t="shared" si="14"/>
        <v>0</v>
      </c>
      <c r="AF19" s="831">
        <f t="shared" si="14"/>
        <v>0</v>
      </c>
      <c r="AG19" s="832">
        <f t="shared" si="14"/>
        <v>0</v>
      </c>
      <c r="AH19" s="830">
        <f t="shared" si="14"/>
        <v>0</v>
      </c>
      <c r="AI19" s="820">
        <f t="shared" si="14"/>
        <v>1126</v>
      </c>
      <c r="AJ19" s="820">
        <f t="shared" si="14"/>
        <v>0</v>
      </c>
      <c r="AK19" s="830">
        <f t="shared" si="14"/>
        <v>0</v>
      </c>
      <c r="AL19" s="884">
        <f>IF(ISNUMBER(NºAsuntos!G19/NºAsuntos!E19),NºAsuntos!G19/NºAsuntos!E19," - ")</f>
        <v>0.91612262276468914</v>
      </c>
      <c r="AM19" s="885">
        <f>IF(ISNUMBER(((NºAsuntos!I19/NºAsuntos!G19)*11)/factor_trimestre),((NºAsuntos!I19/NºAsuntos!G19)*11)/factor_trimestre," - ")</f>
        <v>3.6718822618125486</v>
      </c>
      <c r="AN19" s="885">
        <f>IF(ISNUMBER('Resol  Asuntos'!D19/NºAsuntos!G19),'Resol  Asuntos'!D19/NºAsuntos!G19," - ")</f>
        <v>0.17443841982958946</v>
      </c>
      <c r="AO19" s="886">
        <f>IF(ISNUMBER((NºAsuntos!C19+NºAsuntos!E19)/NºAsuntos!G19),(NºAsuntos!C19+NºAsuntos!E19)/NºAsuntos!G19," - ")</f>
        <v>2.8297443841982961</v>
      </c>
      <c r="AP19" s="887" t="str">
        <f t="shared" si="2"/>
        <v xml:space="preserve"> - </v>
      </c>
      <c r="AQ19" s="888">
        <f>IF(OR(ISNUMBER(FIND("01",Criterios!A8,1)),ISNUMBER(FIND("02",Criterios!A8,1)),ISNUMBER(FIND("03",Criterios!A8,1)),ISNUMBER(FIND("04",Criterios!A8,1))),(I19-W19+K19)/(F19-K19),(H19-W19+K19)/(F19-K19))</f>
        <v>-0.85868020304568526</v>
      </c>
      <c r="AR19" s="889">
        <f>IF(ISNUMBER((Datos!P19-Datos!Q19)/(Datos!R19-Datos!P19+Datos!Q19)),(Datos!P19-Datos!Q19)/(Datos!R19-Datos!P19+Datos!Q19)," - ")</f>
        <v>1.384083044982699E-2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2054.4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2711.8142143836722</v>
      </c>
      <c r="G21" s="253">
        <f>IF(ISNUMBER(STDEV(G8:G18)),STDEV(G8:G18),"-")</f>
        <v>2597.8962257950179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2117.8368209094865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265.69074396480471</v>
      </c>
      <c r="AJ21" s="252">
        <f t="shared" si="18"/>
        <v>0</v>
      </c>
      <c r="AK21" s="254">
        <f t="shared" si="18"/>
        <v>0</v>
      </c>
      <c r="AL21" s="249">
        <f t="shared" si="18"/>
        <v>9.4369213104735616E-2</v>
      </c>
      <c r="AM21" s="250">
        <f t="shared" si="18"/>
        <v>2.5749552059579477</v>
      </c>
      <c r="AN21" s="250">
        <f t="shared" si="18"/>
        <v>0.14665278848755314</v>
      </c>
      <c r="AO21" s="251">
        <f t="shared" si="18"/>
        <v>1.2891606399963735</v>
      </c>
      <c r="AP21" s="291" t="str">
        <f t="shared" si="18"/>
        <v>-</v>
      </c>
      <c r="AQ21" s="292">
        <f t="shared" si="18"/>
        <v>0.43742573821642833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5xGuesVxBzfqCpFQW77wEH2Z4pX7sTEamBHwVfDwaybWsxRnR9nDK8JUagJidec/wH/FwEXG+delb5GC4cFg==" saltValue="LdspnFlacFO58ShtaPIZ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EIVISSA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0.19900497512437812</v>
      </c>
      <c r="I9" s="350">
        <f>IF(ISNUMBER((Tasas!C9-Datos!BE9)/Datos!BE9),(Tasas!C9-Datos!BE9)/Datos!BE9," - ")</f>
        <v>-0.16519710093302067</v>
      </c>
      <c r="J9" s="349">
        <f>IF(ISNUMBER((Tasas!D9-Datos!BF9)/Datos!BF9),(Tasas!D9-Datos!BF9)/Datos!BF9," - ")</f>
        <v>-0.403022477200706</v>
      </c>
      <c r="K9" s="351">
        <f>IF(ISNUMBER((Tasas!E9-Datos!BG9)/Datos!BG9),(Tasas!E9-Datos!BG9)/Datos!BG9," - ")</f>
        <v>-0.13055472510536448</v>
      </c>
      <c r="M9" t="e">
        <f>IF(Monitorios="SI",Datos!CE9,0)</f>
        <v>#REF!</v>
      </c>
      <c r="N9" t="e">
        <f>IF(Monitorios="SI",Datos!CF9,0)</f>
        <v>#REF!</v>
      </c>
      <c r="O9" t="e">
        <f>IF(Monitorios="SI",Datos!CG9,0)</f>
        <v>#REF!</v>
      </c>
      <c r="P9" t="e">
        <f>IF(Monitorios="SI",Datos!CH9,0)</f>
        <v>#REF!</v>
      </c>
      <c r="Q9">
        <f>IF(J_V="SI",0,Datos!AG9)</f>
        <v>163</v>
      </c>
      <c r="R9">
        <f>IF(J_V="SI",0,Datos!AH9)</f>
        <v>128</v>
      </c>
      <c r="S9">
        <f>IF(J_V="SI",0,Datos!AI9)</f>
        <v>115</v>
      </c>
      <c r="T9">
        <f>IF(J_V="SI",0,Datos!AJ9)</f>
        <v>176</v>
      </c>
    </row>
    <row r="10" spans="2:20" ht="14.25">
      <c r="B10" s="275" t="s">
        <v>246</v>
      </c>
      <c r="C10" s="7" t="str">
        <f>Datos!A10</f>
        <v>Jdos. Violencia contra la mujer</v>
      </c>
      <c r="D10" s="352">
        <f>IF(ISNUMBER((Datos!I10-Datos!S10)/Datos!S10),(Datos!I10-Datos!S10)/Datos!S10," - ")</f>
        <v>-8.0645161290322578E-2</v>
      </c>
      <c r="E10" s="348">
        <f>IF(ISNUMBER((Datos!J10-Datos!T10)/Datos!T10),(Datos!J10-Datos!T10)/Datos!T10," - ")</f>
        <v>1.5714285714285714</v>
      </c>
      <c r="F10" s="348">
        <f>IF(ISNUMBER((Datos!K10-Datos!U10)/Datos!U10),(Datos!K10-Datos!U10)/Datos!U10," - ")</f>
        <v>0.61111111111111116</v>
      </c>
      <c r="G10" s="349">
        <f>IF(ISNUMBER((Datos!L10-Datos!V10)/Datos!V10),(Datos!L10-Datos!V10)/Datos!V10," - ")</f>
        <v>8.3333333333333332E-3</v>
      </c>
      <c r="H10" s="230">
        <f>IF(ISNUMBER((Datos!M10-Datos!W10)/Datos!W10),(Datos!M10-Datos!W10)/Datos!W10," - ")</f>
        <v>1</v>
      </c>
      <c r="I10" s="350">
        <f>IF(ISNUMBER((Tasas!C10-Datos!BE10)/Datos!BE10),(Tasas!C10-Datos!BE10)/Datos!BE10," - ")</f>
        <v>-0.37413793103448278</v>
      </c>
      <c r="J10" s="349">
        <f>IF(ISNUMBER((Tasas!D10-Datos!BF10)/Datos!BF10),(Tasas!D10-Datos!BF10)/Datos!BF10," - ")</f>
        <v>0.24137931034482762</v>
      </c>
      <c r="K10" s="351">
        <f>IF(ISNUMBER((Tasas!E10-Datos!BG10)/Datos!BG10),(Tasas!E10-Datos!BG10)/Datos!BG10," - ")</f>
        <v>-0.32533733133433285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0.33170731707317075</v>
      </c>
      <c r="I13" s="357">
        <f>IF(ISNUMBER((Tasas!C13-Datos!BE13)/Datos!BE13),(Tasas!C13-Datos!BE13)/Datos!BE13," - ")</f>
        <v>-0.21719917739687739</v>
      </c>
      <c r="J13" s="355">
        <f>IF(ISNUMBER((Tasas!D13-Datos!BF13)/Datos!BF13),(Tasas!D13-Datos!BF13)/Datos!BF13," - ")</f>
        <v>-0.40055875831485588</v>
      </c>
      <c r="K13" s="358">
        <f>IF(ISNUMBER((Tasas!E13-Datos!BG13)/Datos!BG13),(Tasas!E13-Datos!BG13)/Datos!BG13," - ")</f>
        <v>-0.17180963223896209</v>
      </c>
      <c r="M13" t="e">
        <f>IF(Monitorios="SI",Datos!CE13,0)</f>
        <v>#REF!</v>
      </c>
      <c r="N13" t="e">
        <f>IF(Monitorios="SI",Datos!CF13,0)</f>
        <v>#REF!</v>
      </c>
      <c r="O13" t="e">
        <f>IF(Monitorios="SI",Datos!CG13,0)</f>
        <v>#REF!</v>
      </c>
      <c r="P13" t="e">
        <f>IF(Monitorios="SI",Datos!CH13,0)</f>
        <v>#REF!</v>
      </c>
      <c r="Q13">
        <f>IF(J_V="SI",0,Datos!AG13)</f>
        <v>163</v>
      </c>
      <c r="R13">
        <f>IF(J_V="SI",0,Datos!AH13)</f>
        <v>128</v>
      </c>
      <c r="S13">
        <f>IF(J_V="SI",0,Datos!AI13)</f>
        <v>115</v>
      </c>
      <c r="T13">
        <f>IF(J_V="SI",0,Datos!AJ13)</f>
        <v>176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0.11542056074766355</v>
      </c>
      <c r="E15" s="348">
        <f>IF(ISNUMBER(
   IF(D_I="SI",(Datos!J15-Datos!T15)/Datos!T15,(Datos!J15+Datos!AD15-(Datos!T15+Datos!AL15))/(Datos!T15+Datos!AL15))
     ),IF(D_I="SI",(Datos!J15-Datos!T15)/Datos!T15,(Datos!J15+Datos!AD15-(Datos!T15+Datos!AL15))/(Datos!T15+Datos!AL15))," - ")</f>
        <v>-3.6882222768625524E-2</v>
      </c>
      <c r="F15" s="348">
        <f>IF(ISNUMBER(
   IF(D_I="SI",(Datos!K15-Datos!U15)/Datos!U15,(Datos!K15+Datos!AE15-(Datos!U15+Datos!AM15))/(Datos!U15+Datos!AM15))
     ),IF(D_I="SI",(Datos!K15-Datos!U15)/Datos!U15,(Datos!K15+Datos!AE15-(Datos!U15+Datos!AM15))/(Datos!U15+Datos!AM15))," - ")</f>
        <v>2.8965890633459664E-2</v>
      </c>
      <c r="G15" s="349">
        <f>IF(ISNUMBER(
   IF(D_I="SI",(Datos!L15-Datos!V15)/Datos!V15,(Datos!L15+Datos!AF15-(Datos!V15+Datos!AN15))/(Datos!V15+Datos!AN15))
     ),IF(D_I="SI",(Datos!L15-Datos!V15)/Datos!V15,(Datos!L15+Datos!AF15-(Datos!V15+Datos!AN15))/(Datos!V15+Datos!AN15))," - ")</f>
        <v>-5.8295107033639146E-2</v>
      </c>
      <c r="H15" s="230">
        <f>IF(ISNUMBER((Datos!M15-Datos!W15)/Datos!W15),(Datos!M15-Datos!W15)/Datos!W15," - ")</f>
        <v>1.9083969465648854E-3</v>
      </c>
      <c r="I15" s="350">
        <f>IF(ISNUMBER((Tasas!C15-Datos!BE15)/Datos!BE15),(Tasas!C15-Datos!BE15)/Datos!BE15," - ")</f>
        <v>-8.4804558111618758E-2</v>
      </c>
      <c r="J15" s="349">
        <f>IF(ISNUMBER((Tasas!D15-Datos!BF15)/Datos!BF15),(Tasas!D15-Datos!BF15)/Datos!BF15," - ")</f>
        <v>-2.629581207034707E-2</v>
      </c>
      <c r="K15" s="351">
        <f>IF(ISNUMBER((Tasas!E15-Datos!BG15)/Datos!BG15),(Tasas!E15-Datos!BG15)/Datos!BG15," - ")</f>
        <v>1.1901775484416998E-2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-4.0160642570281121E-3</v>
      </c>
      <c r="E17" s="348">
        <f>IF(ISNUMBER(
   IF(D_I="SI",(Datos!J17-Datos!T17)/Datos!T17,(Datos!J17+Datos!AD17-(Datos!T17+Datos!AL17))/(Datos!T17+Datos!AL17))
     ),IF(D_I="SI",(Datos!J17-Datos!T17)/Datos!T17,(Datos!J17+Datos!AD17-(Datos!T17+Datos!AL17))/(Datos!T17+Datos!AL17))," - ")</f>
        <v>-6.118143459915612E-2</v>
      </c>
      <c r="F17" s="348">
        <f>IF(ISNUMBER(
   IF(D_I="SI",(Datos!K17-Datos!U17)/Datos!U17,(Datos!K17+Datos!AE17-(Datos!U17+Datos!AM17))/(Datos!U17+Datos!AM17))
     ),IF(D_I="SI",(Datos!K17-Datos!U17)/Datos!U17,(Datos!K17+Datos!AE17-(Datos!U17+Datos!AM17))/(Datos!U17+Datos!AM17))," - ")</f>
        <v>-0.15644820295983086</v>
      </c>
      <c r="G17" s="349">
        <f>IF(ISNUMBER(
   IF(D_I="SI",(Datos!L17-Datos!V17)/Datos!V17,(Datos!L17+Datos!AF17-(Datos!V17+Datos!AN17))/(Datos!V17+Datos!AN17))
     ),IF(D_I="SI",(Datos!L17-Datos!V17)/Datos!V17,(Datos!L17+Datos!AF17-(Datos!V17+Datos!AN17))/(Datos!V17+Datos!AN17))," - ")</f>
        <v>0.17599999999999999</v>
      </c>
      <c r="H17" s="230">
        <f>IF(ISNUMBER((Datos!M17-Datos!W17)/Datos!W17),(Datos!M17-Datos!W17)/Datos!W17," - ")</f>
        <v>-0.30379746835443039</v>
      </c>
      <c r="I17" s="350">
        <f>IF(ISNUMBER((Tasas!C17-Datos!BE17)/Datos!BE17),(Tasas!C17-Datos!BE17)/Datos!BE17," - ")</f>
        <v>0.39410526315789468</v>
      </c>
      <c r="J17" s="349">
        <f>IF(ISNUMBER((Tasas!D17-Datos!BF17)/Datos!BF17),(Tasas!D17-Datos!BF17)/Datos!BF17," - ")</f>
        <v>-0.17467719932743256</v>
      </c>
      <c r="K17" s="351">
        <f>IF(ISNUMBER((Tasas!E17-Datos!BG17)/Datos!BG17),(Tasas!E17-Datos!BG17)/Datos!BG17," - ")</f>
        <v>0.13627429569775065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0.10885405166703467</v>
      </c>
      <c r="E18" s="354">
        <f>IF(ISNUMBER(
   IF(D_I="SI",(Datos!J18-Datos!T18)/Datos!T18,(Datos!J18+Datos!AD18-(Datos!T18+Datos!AL18))/(Datos!T18+Datos!AL18))
     ),IF(D_I="SI",(Datos!J18-Datos!T18)/Datos!T18,(Datos!J18+Datos!AD18-(Datos!T18+Datos!AL18))/(Datos!T18+Datos!AL18))," - ")</f>
        <v>-3.94186302576525E-2</v>
      </c>
      <c r="F18" s="354">
        <f>IF(ISNUMBER(
   IF(D_I="SI",(Datos!K18-Datos!U18)/Datos!U18,(Datos!K18+Datos!AE18-(Datos!U18+Datos!AM18))/(Datos!U18+Datos!AM18))
     ),IF(D_I="SI",(Datos!K18-Datos!U18)/Datos!U18,(Datos!K18+Datos!AE18-(Datos!U18+Datos!AM18))/(Datos!U18+Datos!AM18))," - ")</f>
        <v>7.9193664506839456E-3</v>
      </c>
      <c r="G18" s="355">
        <f>IF(ISNUMBER(
   IF(D_I="SI",(Datos!L18-Datos!V18)/Datos!V18,(Datos!L18+Datos!AF18-(Datos!V18+Datos!AN18))/(Datos!V18+Datos!AN18))
     ),IF(D_I="SI",(Datos!L18-Datos!V18)/Datos!V18,(Datos!L18+Datos!AF18-(Datos!V18+Datos!AN18))/(Datos!V18+Datos!AN18))," - ")</f>
        <v>-4.7610361182050344E-2</v>
      </c>
      <c r="H18" s="356">
        <f>IF(ISNUMBER((Datos!M18-Datos!W18)/Datos!W18),(Datos!M18-Datos!W18)/Datos!W18," - ")</f>
        <v>-3.8142620232172471E-2</v>
      </c>
      <c r="I18" s="357">
        <f>IF(ISNUMBER((Tasas!C18-Datos!BE18)/Datos!BE18),(Tasas!C18-Datos!BE18)/Datos!BE18," - ")</f>
        <v>-5.5093422629905762E-2</v>
      </c>
      <c r="J18" s="355">
        <f>IF(ISNUMBER((Tasas!D18-Datos!BF18)/Datos!BF18),(Tasas!D18-Datos!BF18)/Datos!BF18," - ")</f>
        <v>-4.5700071073205284E-2</v>
      </c>
      <c r="K18" s="358">
        <f>IF(ISNUMBER((Tasas!E18-Datos!BG18)/Datos!BG18),(Tasas!E18-Datos!BG18)/Datos!BG18," - ")</f>
        <v>2.6490470940305648E-2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4.5471487141259787E-2</v>
      </c>
      <c r="E19" s="363">
        <f>IF(ISNUMBER(
   IF(J_V="SI",(Datos!J19-Datos!T19)/Datos!T19,(Datos!J19+Datos!Z19-(Datos!T19+Datos!AH19))/(Datos!T19+Datos!AH19))
     ),IF(J_V="SI",(Datos!J19-Datos!T19)/Datos!T19,(Datos!J19+Datos!Z19-(Datos!T19+Datos!AH19))/(Datos!T19+Datos!AH19))," - ")</f>
        <v>7.0820668693009112E-2</v>
      </c>
      <c r="F19" s="363">
        <f>IF(ISNUMBER(
   IF(J_V="SI",(Datos!K19-Datos!U19)/Datos!U19,(Datos!K19+Datos!AA19-(Datos!U19+Datos!AI19))/(Datos!U19+Datos!AI19))
     ),IF(J_V="SI",(Datos!K19-Datos!U19)/Datos!U19,(Datos!K19+Datos!AA19-(Datos!U19+Datos!AI19))/(Datos!U19+Datos!AI19))," - ")</f>
        <v>9.4067796610169493E-2</v>
      </c>
      <c r="G19" s="364">
        <f>IF(ISNUMBER(
   IF(J_V="SI",(Datos!L19-Datos!V19)/Datos!V19,(Datos!L19+Datos!AB19-(Datos!V19+Datos!AJ19))/(Datos!V19+Datos!AJ19))
     ),IF(J_V="SI",(Datos!L19-Datos!V19)/Datos!V19,(Datos!L19+Datos!AB19-(Datos!V19+Datos!AJ19))/(Datos!V19+Datos!AJ19))," - ")</f>
        <v>-1.1675423234092236E-2</v>
      </c>
      <c r="H19" s="365">
        <f>IF(ISNUMBER((Datos!M19-Datos!W19)/Datos!W19),(Datos!M19-Datos!W19)/Datos!W19," - ")</f>
        <v>0.11154985192497532</v>
      </c>
      <c r="I19" s="362">
        <f>IF(ISNUMBER((Tasas!C19-Datos!BE19)/Datos!BE19),(Tasas!C19-Datos!BE19)/Datos!BE19," - ")</f>
        <v>-9.6651432545490953E-2</v>
      </c>
      <c r="J19" s="363">
        <f>IF(ISNUMBER((Tasas!D19-Datos!BF19)/Datos!BF19),(Tasas!D19-Datos!BF19)/Datos!BF19," - ")</f>
        <v>-0.21014069302027791</v>
      </c>
      <c r="K19" s="364">
        <f>IF(ISNUMBER((Tasas!E19-Datos!BG19)/Datos!BG19),(Tasas!E19-Datos!BG19)/Datos!BG19," - ")</f>
        <v>-3.5611606586763662E-2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9.4547883408620623E-2</v>
      </c>
      <c r="E21" s="278">
        <f t="shared" si="1"/>
        <v>0.80870154437039554</v>
      </c>
      <c r="F21" s="278">
        <f t="shared" si="1"/>
        <v>0.3358718355917969</v>
      </c>
      <c r="G21" s="279">
        <f t="shared" si="1"/>
        <v>0.10827861890152542</v>
      </c>
      <c r="H21" s="285">
        <f t="shared" si="1"/>
        <v>0.44879781909803856</v>
      </c>
      <c r="I21" s="277">
        <f t="shared" si="1"/>
        <v>0.25997516140719445</v>
      </c>
      <c r="J21" s="278">
        <f t="shared" si="1"/>
        <v>0.24713722287417145</v>
      </c>
      <c r="K21" s="279">
        <f t="shared" si="1"/>
        <v>0.16590041517702395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vA1ij7rGhyHrvC7vM66oFcmhcejQ5V5KxyglFYxIpr7mwCKEPI5/r8wH6e3exzT1fVZ7hmMP8VbuUFfEVBSw==" saltValue="3jWiySW+5ByG/ASx2QXJ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